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CÔNG TÁC XÃ 2025\DỀ ÁN XÃ MỚI 2025\ĐỀ ÁN SÁP NHẬP 2025\ĐỀ ÁN NGÀY 9.4.2025\PHƯƠNG ÁN 5 XÃ 9.4.2025\HƯỚNG DẪN LẤY PHIẾU\NGHỊ QUYẾT CÁC XÃ\"/>
    </mc:Choice>
  </mc:AlternateContent>
  <bookViews>
    <workbookView xWindow="-120" yWindow="-120" windowWidth="24240" windowHeight="13020" activeTab="1"/>
  </bookViews>
  <sheets>
    <sheet name="PL 2.1" sheetId="2" r:id="rId1"/>
    <sheet name="PL 2.2" sheetId="5" r:id="rId2"/>
    <sheet name="PL 2.3" sheetId="6" r:id="rId3"/>
    <sheet name="PL 2.4" sheetId="7" r:id="rId4"/>
    <sheet name="PL 5" sheetId="9" r:id="rId5"/>
    <sheet name="PL 2.6" sheetId="10" r:id="rId6"/>
  </sheets>
  <definedNames>
    <definedName name="_xlnm._FilterDatabase" localSheetId="2" hidden="1">'PL 2.3'!$A$4:$K$67</definedName>
    <definedName name="_xlnm.Print_Titles" localSheetId="0">'PL 2.1'!$4:$6</definedName>
    <definedName name="_xlnm.Print_Titles" localSheetId="2">'PL 2.3'!$4:$6</definedName>
    <definedName name="_xlnm.Print_Titles" localSheetId="5">'PL 2.6'!$4:$5</definedName>
    <definedName name="_xlnm.Print_Titles" localSheetId="4">'PL 5'!$7:$9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6" i="9" l="1"/>
  <c r="H166" i="9"/>
  <c r="I166" i="9"/>
  <c r="J166" i="9"/>
  <c r="K166" i="9"/>
  <c r="L166" i="9"/>
  <c r="M166" i="9"/>
  <c r="N166" i="9"/>
  <c r="O166" i="9"/>
  <c r="P166" i="9"/>
  <c r="Q166" i="9"/>
  <c r="R166" i="9"/>
  <c r="S166" i="9"/>
  <c r="T166" i="9"/>
  <c r="U166" i="9"/>
  <c r="X166" i="9"/>
  <c r="Y166" i="9"/>
  <c r="F166" i="9"/>
  <c r="F152" i="9"/>
  <c r="G132" i="9"/>
  <c r="H132" i="9"/>
  <c r="I132" i="9"/>
  <c r="J132" i="9"/>
  <c r="K132" i="9"/>
  <c r="L132" i="9"/>
  <c r="M132" i="9"/>
  <c r="N132" i="9"/>
  <c r="O132" i="9"/>
  <c r="P132" i="9"/>
  <c r="Q132" i="9"/>
  <c r="R132" i="9"/>
  <c r="S132" i="9"/>
  <c r="T132" i="9"/>
  <c r="U132" i="9"/>
  <c r="F132" i="9"/>
  <c r="G113" i="9"/>
  <c r="H113" i="9"/>
  <c r="I113" i="9"/>
  <c r="J113" i="9"/>
  <c r="K113" i="9"/>
  <c r="L113" i="9"/>
  <c r="M113" i="9"/>
  <c r="N113" i="9"/>
  <c r="O113" i="9"/>
  <c r="P113" i="9"/>
  <c r="Q113" i="9"/>
  <c r="R113" i="9"/>
  <c r="S113" i="9"/>
  <c r="T113" i="9"/>
  <c r="U113" i="9"/>
  <c r="F113" i="9"/>
  <c r="G96" i="9"/>
  <c r="H96" i="9"/>
  <c r="I96" i="9"/>
  <c r="J96" i="9"/>
  <c r="K96" i="9"/>
  <c r="L96" i="9"/>
  <c r="M96" i="9"/>
  <c r="N96" i="9"/>
  <c r="O96" i="9"/>
  <c r="P96" i="9"/>
  <c r="Q96" i="9"/>
  <c r="R96" i="9"/>
  <c r="S96" i="9"/>
  <c r="T96" i="9"/>
  <c r="U96" i="9"/>
  <c r="F96" i="9"/>
  <c r="F69" i="9"/>
  <c r="F53" i="9"/>
  <c r="G11" i="9"/>
  <c r="H11" i="9"/>
  <c r="I11" i="9"/>
  <c r="J11" i="9"/>
  <c r="K11" i="9"/>
  <c r="L11" i="9"/>
  <c r="M11" i="9"/>
  <c r="N11" i="9"/>
  <c r="O11" i="9"/>
  <c r="P11" i="9"/>
  <c r="Q11" i="9"/>
  <c r="R11" i="9"/>
  <c r="S11" i="9"/>
  <c r="T11" i="9"/>
  <c r="U11" i="9"/>
  <c r="F11" i="9"/>
  <c r="G38" i="9"/>
  <c r="H38" i="9"/>
  <c r="I38" i="9"/>
  <c r="J38" i="9"/>
  <c r="K38" i="9"/>
  <c r="L38" i="9"/>
  <c r="M38" i="9"/>
  <c r="N38" i="9"/>
  <c r="O38" i="9"/>
  <c r="P38" i="9"/>
  <c r="Q38" i="9"/>
  <c r="R38" i="9"/>
  <c r="S38" i="9"/>
  <c r="T38" i="9"/>
  <c r="U38" i="9"/>
  <c r="F38" i="9"/>
  <c r="G53" i="9"/>
  <c r="H53" i="9"/>
  <c r="I53" i="9"/>
  <c r="J53" i="9"/>
  <c r="K53" i="9"/>
  <c r="L53" i="9"/>
  <c r="M53" i="9"/>
  <c r="N53" i="9"/>
  <c r="O53" i="9"/>
  <c r="P53" i="9"/>
  <c r="Q53" i="9"/>
  <c r="R53" i="9"/>
  <c r="S53" i="9"/>
  <c r="T53" i="9"/>
  <c r="U53" i="9"/>
  <c r="G69" i="9"/>
  <c r="H69" i="9"/>
  <c r="I69" i="9"/>
  <c r="J69" i="9"/>
  <c r="K69" i="9"/>
  <c r="L69" i="9"/>
  <c r="M69" i="9"/>
  <c r="N69" i="9"/>
  <c r="O69" i="9"/>
  <c r="P69" i="9"/>
  <c r="Q69" i="9"/>
  <c r="R69" i="9"/>
  <c r="S69" i="9"/>
  <c r="T69" i="9"/>
  <c r="U69" i="9"/>
  <c r="D20" i="10"/>
  <c r="D21" i="10"/>
  <c r="D22" i="10"/>
  <c r="D23" i="10"/>
  <c r="D24" i="10"/>
  <c r="D25" i="10"/>
  <c r="D26" i="10"/>
  <c r="D27" i="10"/>
  <c r="D28" i="10"/>
  <c r="D16" i="10"/>
  <c r="D17" i="10"/>
  <c r="D18" i="10"/>
  <c r="D19" i="10"/>
  <c r="D15" i="10"/>
  <c r="F10" i="9" l="1"/>
  <c r="F175" i="9" s="1"/>
  <c r="C40" i="10"/>
  <c r="C47" i="10" s="1"/>
  <c r="D46" i="10" l="1"/>
  <c r="D45" i="10"/>
  <c r="D44" i="10"/>
  <c r="D43" i="10"/>
  <c r="D42" i="10"/>
  <c r="D41" i="10"/>
  <c r="D47" i="10" l="1"/>
  <c r="V167" i="9"/>
  <c r="W167" i="9"/>
  <c r="V12" i="9"/>
  <c r="W12" i="9"/>
  <c r="X12" i="9"/>
  <c r="Y12" i="9"/>
  <c r="V13" i="9"/>
  <c r="W13" i="9"/>
  <c r="X13" i="9"/>
  <c r="Y13" i="9"/>
  <c r="V14" i="9"/>
  <c r="W14" i="9"/>
  <c r="X14" i="9"/>
  <c r="Y14" i="9"/>
  <c r="V15" i="9"/>
  <c r="W15" i="9"/>
  <c r="X15" i="9"/>
  <c r="Y15" i="9"/>
  <c r="V16" i="9"/>
  <c r="W16" i="9"/>
  <c r="X16" i="9"/>
  <c r="Y16" i="9"/>
  <c r="V17" i="9"/>
  <c r="W17" i="9"/>
  <c r="X17" i="9"/>
  <c r="Y17" i="9"/>
  <c r="V18" i="9"/>
  <c r="W18" i="9"/>
  <c r="X18" i="9"/>
  <c r="Y18" i="9"/>
  <c r="V19" i="9"/>
  <c r="W19" i="9"/>
  <c r="X19" i="9"/>
  <c r="Y19" i="9"/>
  <c r="V20" i="9"/>
  <c r="W20" i="9"/>
  <c r="X20" i="9"/>
  <c r="Y20" i="9"/>
  <c r="V21" i="9"/>
  <c r="W21" i="9"/>
  <c r="X21" i="9"/>
  <c r="Y21" i="9"/>
  <c r="V22" i="9"/>
  <c r="W22" i="9"/>
  <c r="X22" i="9"/>
  <c r="Y22" i="9"/>
  <c r="V23" i="9"/>
  <c r="W23" i="9"/>
  <c r="X23" i="9"/>
  <c r="Y23" i="9"/>
  <c r="V24" i="9"/>
  <c r="W24" i="9"/>
  <c r="X24" i="9"/>
  <c r="Y24" i="9"/>
  <c r="V25" i="9"/>
  <c r="W25" i="9"/>
  <c r="X25" i="9"/>
  <c r="Y25" i="9"/>
  <c r="V26" i="9"/>
  <c r="W26" i="9"/>
  <c r="X26" i="9"/>
  <c r="Y26" i="9"/>
  <c r="V27" i="9"/>
  <c r="W27" i="9"/>
  <c r="X27" i="9"/>
  <c r="Y27" i="9"/>
  <c r="V28" i="9"/>
  <c r="W28" i="9"/>
  <c r="X28" i="9"/>
  <c r="Y28" i="9"/>
  <c r="V29" i="9"/>
  <c r="W29" i="9"/>
  <c r="X29" i="9"/>
  <c r="Y29" i="9"/>
  <c r="V30" i="9"/>
  <c r="W30" i="9"/>
  <c r="X30" i="9"/>
  <c r="Y30" i="9"/>
  <c r="V31" i="9"/>
  <c r="W31" i="9"/>
  <c r="X31" i="9"/>
  <c r="Y31" i="9"/>
  <c r="V32" i="9"/>
  <c r="W32" i="9"/>
  <c r="X32" i="9"/>
  <c r="Y32" i="9"/>
  <c r="V33" i="9"/>
  <c r="W33" i="9"/>
  <c r="X33" i="9"/>
  <c r="Y33" i="9"/>
  <c r="V34" i="9"/>
  <c r="W34" i="9"/>
  <c r="X34" i="9"/>
  <c r="Y34" i="9"/>
  <c r="V35" i="9"/>
  <c r="W35" i="9"/>
  <c r="X35" i="9"/>
  <c r="Y35" i="9"/>
  <c r="V36" i="9"/>
  <c r="W36" i="9"/>
  <c r="X36" i="9"/>
  <c r="Y36" i="9"/>
  <c r="V37" i="9"/>
  <c r="W37" i="9"/>
  <c r="X37" i="9"/>
  <c r="Y37" i="9"/>
  <c r="V168" i="9"/>
  <c r="W168" i="9"/>
  <c r="V39" i="9"/>
  <c r="W39" i="9"/>
  <c r="X39" i="9"/>
  <c r="Y39" i="9"/>
  <c r="V40" i="9"/>
  <c r="W40" i="9"/>
  <c r="X40" i="9"/>
  <c r="Y40" i="9"/>
  <c r="V41" i="9"/>
  <c r="W41" i="9"/>
  <c r="X41" i="9"/>
  <c r="Y41" i="9"/>
  <c r="V42" i="9"/>
  <c r="W42" i="9"/>
  <c r="X42" i="9"/>
  <c r="Y42" i="9"/>
  <c r="V43" i="9"/>
  <c r="W43" i="9"/>
  <c r="X43" i="9"/>
  <c r="Y43" i="9"/>
  <c r="V44" i="9"/>
  <c r="W44" i="9"/>
  <c r="X44" i="9"/>
  <c r="Y44" i="9"/>
  <c r="V45" i="9"/>
  <c r="W45" i="9"/>
  <c r="X45" i="9"/>
  <c r="Y45" i="9"/>
  <c r="V46" i="9"/>
  <c r="W46" i="9"/>
  <c r="X46" i="9"/>
  <c r="Y46" i="9"/>
  <c r="V47" i="9"/>
  <c r="W47" i="9"/>
  <c r="X47" i="9"/>
  <c r="Y47" i="9"/>
  <c r="V48" i="9"/>
  <c r="W48" i="9"/>
  <c r="X48" i="9"/>
  <c r="Y48" i="9"/>
  <c r="V49" i="9"/>
  <c r="W49" i="9"/>
  <c r="X49" i="9"/>
  <c r="Y49" i="9"/>
  <c r="V50" i="9"/>
  <c r="W50" i="9"/>
  <c r="X50" i="9"/>
  <c r="Y50" i="9"/>
  <c r="V51" i="9"/>
  <c r="W51" i="9"/>
  <c r="X51" i="9"/>
  <c r="Y51" i="9"/>
  <c r="V52" i="9"/>
  <c r="W52" i="9"/>
  <c r="X52" i="9"/>
  <c r="Y52" i="9"/>
  <c r="V169" i="9"/>
  <c r="W169" i="9"/>
  <c r="V54" i="9"/>
  <c r="W54" i="9"/>
  <c r="X54" i="9"/>
  <c r="Y54" i="9"/>
  <c r="V55" i="9"/>
  <c r="W55" i="9"/>
  <c r="X55" i="9"/>
  <c r="Y55" i="9"/>
  <c r="V56" i="9"/>
  <c r="W56" i="9"/>
  <c r="X56" i="9"/>
  <c r="Y56" i="9"/>
  <c r="V57" i="9"/>
  <c r="W57" i="9"/>
  <c r="X57" i="9"/>
  <c r="Y57" i="9"/>
  <c r="V58" i="9"/>
  <c r="W58" i="9"/>
  <c r="X58" i="9"/>
  <c r="Y58" i="9"/>
  <c r="V59" i="9"/>
  <c r="W59" i="9"/>
  <c r="X59" i="9"/>
  <c r="Y59" i="9"/>
  <c r="V60" i="9"/>
  <c r="W60" i="9"/>
  <c r="X60" i="9"/>
  <c r="Y60" i="9"/>
  <c r="V61" i="9"/>
  <c r="W61" i="9"/>
  <c r="X61" i="9"/>
  <c r="Y61" i="9"/>
  <c r="V62" i="9"/>
  <c r="W62" i="9"/>
  <c r="X62" i="9"/>
  <c r="Y62" i="9"/>
  <c r="V63" i="9"/>
  <c r="W63" i="9"/>
  <c r="X63" i="9"/>
  <c r="Y63" i="9"/>
  <c r="V64" i="9"/>
  <c r="W64" i="9"/>
  <c r="X64" i="9"/>
  <c r="Y64" i="9"/>
  <c r="V65" i="9"/>
  <c r="W65" i="9"/>
  <c r="X65" i="9"/>
  <c r="Y65" i="9"/>
  <c r="V66" i="9"/>
  <c r="W66" i="9"/>
  <c r="X66" i="9"/>
  <c r="Y66" i="9"/>
  <c r="V67" i="9"/>
  <c r="W67" i="9"/>
  <c r="X67" i="9"/>
  <c r="Y67" i="9"/>
  <c r="V68" i="9"/>
  <c r="W68" i="9"/>
  <c r="X68" i="9"/>
  <c r="Y68" i="9"/>
  <c r="V170" i="9"/>
  <c r="W170" i="9"/>
  <c r="V70" i="9"/>
  <c r="W70" i="9"/>
  <c r="X70" i="9"/>
  <c r="Y70" i="9"/>
  <c r="V71" i="9"/>
  <c r="W71" i="9"/>
  <c r="X71" i="9"/>
  <c r="Y71" i="9"/>
  <c r="V72" i="9"/>
  <c r="W72" i="9"/>
  <c r="X72" i="9"/>
  <c r="Y72" i="9"/>
  <c r="V73" i="9"/>
  <c r="W73" i="9"/>
  <c r="X73" i="9"/>
  <c r="Y73" i="9"/>
  <c r="V74" i="9"/>
  <c r="W74" i="9"/>
  <c r="X74" i="9"/>
  <c r="Y74" i="9"/>
  <c r="V75" i="9"/>
  <c r="W75" i="9"/>
  <c r="X75" i="9"/>
  <c r="Y75" i="9"/>
  <c r="V76" i="9"/>
  <c r="W76" i="9"/>
  <c r="X76" i="9"/>
  <c r="Y76" i="9"/>
  <c r="V77" i="9"/>
  <c r="W77" i="9"/>
  <c r="X77" i="9"/>
  <c r="Y77" i="9"/>
  <c r="V78" i="9"/>
  <c r="W78" i="9"/>
  <c r="X78" i="9"/>
  <c r="Y78" i="9"/>
  <c r="V79" i="9"/>
  <c r="W79" i="9"/>
  <c r="X79" i="9"/>
  <c r="Y79" i="9"/>
  <c r="V80" i="9"/>
  <c r="W80" i="9"/>
  <c r="X80" i="9"/>
  <c r="Y80" i="9"/>
  <c r="V81" i="9"/>
  <c r="W81" i="9"/>
  <c r="X81" i="9"/>
  <c r="Y81" i="9"/>
  <c r="V82" i="9"/>
  <c r="W82" i="9"/>
  <c r="X82" i="9"/>
  <c r="Y82" i="9"/>
  <c r="V83" i="9"/>
  <c r="W83" i="9"/>
  <c r="X83" i="9"/>
  <c r="Y83" i="9"/>
  <c r="V84" i="9"/>
  <c r="W84" i="9"/>
  <c r="X84" i="9"/>
  <c r="Y84" i="9"/>
  <c r="V85" i="9"/>
  <c r="W85" i="9"/>
  <c r="X85" i="9"/>
  <c r="Y85" i="9"/>
  <c r="V86" i="9"/>
  <c r="W86" i="9"/>
  <c r="X86" i="9"/>
  <c r="Y86" i="9"/>
  <c r="V87" i="9"/>
  <c r="W87" i="9"/>
  <c r="X87" i="9"/>
  <c r="Y87" i="9"/>
  <c r="V88" i="9"/>
  <c r="W88" i="9"/>
  <c r="X88" i="9"/>
  <c r="Y88" i="9"/>
  <c r="V89" i="9"/>
  <c r="W89" i="9"/>
  <c r="X89" i="9"/>
  <c r="Y89" i="9"/>
  <c r="V90" i="9"/>
  <c r="W90" i="9"/>
  <c r="X90" i="9"/>
  <c r="Y90" i="9"/>
  <c r="V91" i="9"/>
  <c r="W91" i="9"/>
  <c r="X91" i="9"/>
  <c r="Y91" i="9"/>
  <c r="V92" i="9"/>
  <c r="W92" i="9"/>
  <c r="X92" i="9"/>
  <c r="Y92" i="9"/>
  <c r="V93" i="9"/>
  <c r="W93" i="9"/>
  <c r="X93" i="9"/>
  <c r="Y93" i="9"/>
  <c r="V94" i="9"/>
  <c r="W94" i="9"/>
  <c r="X94" i="9"/>
  <c r="Y94" i="9"/>
  <c r="V95" i="9"/>
  <c r="W95" i="9"/>
  <c r="X95" i="9"/>
  <c r="Y95" i="9"/>
  <c r="V171" i="9"/>
  <c r="W171" i="9"/>
  <c r="V97" i="9"/>
  <c r="W97" i="9"/>
  <c r="X97" i="9"/>
  <c r="Y97" i="9"/>
  <c r="V98" i="9"/>
  <c r="W98" i="9"/>
  <c r="X98" i="9"/>
  <c r="Y98" i="9"/>
  <c r="V99" i="9"/>
  <c r="W99" i="9"/>
  <c r="X99" i="9"/>
  <c r="Y99" i="9"/>
  <c r="V100" i="9"/>
  <c r="W100" i="9"/>
  <c r="X100" i="9"/>
  <c r="Y100" i="9"/>
  <c r="V101" i="9"/>
  <c r="W101" i="9"/>
  <c r="X101" i="9"/>
  <c r="Y101" i="9"/>
  <c r="V102" i="9"/>
  <c r="W102" i="9"/>
  <c r="X102" i="9"/>
  <c r="Y102" i="9"/>
  <c r="V103" i="9"/>
  <c r="W103" i="9"/>
  <c r="X103" i="9"/>
  <c r="Y103" i="9"/>
  <c r="V104" i="9"/>
  <c r="W104" i="9"/>
  <c r="X104" i="9"/>
  <c r="Y104" i="9"/>
  <c r="V105" i="9"/>
  <c r="W105" i="9"/>
  <c r="X105" i="9"/>
  <c r="Y105" i="9"/>
  <c r="V106" i="9"/>
  <c r="W106" i="9"/>
  <c r="X106" i="9"/>
  <c r="Y106" i="9"/>
  <c r="V107" i="9"/>
  <c r="W107" i="9"/>
  <c r="X107" i="9"/>
  <c r="Y107" i="9"/>
  <c r="V108" i="9"/>
  <c r="W108" i="9"/>
  <c r="X108" i="9"/>
  <c r="Y108" i="9"/>
  <c r="V109" i="9"/>
  <c r="W109" i="9"/>
  <c r="X109" i="9"/>
  <c r="Y109" i="9"/>
  <c r="V110" i="9"/>
  <c r="W110" i="9"/>
  <c r="X110" i="9"/>
  <c r="Y110" i="9"/>
  <c r="V111" i="9"/>
  <c r="W111" i="9"/>
  <c r="X111" i="9"/>
  <c r="Y111" i="9"/>
  <c r="V112" i="9"/>
  <c r="W112" i="9"/>
  <c r="X112" i="9"/>
  <c r="Y112" i="9"/>
  <c r="V172" i="9"/>
  <c r="W172" i="9"/>
  <c r="V114" i="9"/>
  <c r="W114" i="9"/>
  <c r="X114" i="9"/>
  <c r="Y114" i="9"/>
  <c r="V115" i="9"/>
  <c r="W115" i="9"/>
  <c r="X115" i="9"/>
  <c r="Y115" i="9"/>
  <c r="V116" i="9"/>
  <c r="W116" i="9"/>
  <c r="X116" i="9"/>
  <c r="Y116" i="9"/>
  <c r="V117" i="9"/>
  <c r="W117" i="9"/>
  <c r="X117" i="9"/>
  <c r="Y117" i="9"/>
  <c r="V118" i="9"/>
  <c r="W118" i="9"/>
  <c r="X118" i="9"/>
  <c r="Y118" i="9"/>
  <c r="V119" i="9"/>
  <c r="W119" i="9"/>
  <c r="X119" i="9"/>
  <c r="Y119" i="9"/>
  <c r="V120" i="9"/>
  <c r="W120" i="9"/>
  <c r="X120" i="9"/>
  <c r="Y120" i="9"/>
  <c r="V121" i="9"/>
  <c r="W121" i="9"/>
  <c r="X121" i="9"/>
  <c r="Y121" i="9"/>
  <c r="V122" i="9"/>
  <c r="W122" i="9"/>
  <c r="X122" i="9"/>
  <c r="Y122" i="9"/>
  <c r="V123" i="9"/>
  <c r="W123" i="9"/>
  <c r="X123" i="9"/>
  <c r="Y123" i="9"/>
  <c r="V124" i="9"/>
  <c r="W124" i="9"/>
  <c r="X124" i="9"/>
  <c r="Y124" i="9"/>
  <c r="V125" i="9"/>
  <c r="W125" i="9"/>
  <c r="X125" i="9"/>
  <c r="Y125" i="9"/>
  <c r="V126" i="9"/>
  <c r="W126" i="9"/>
  <c r="X126" i="9"/>
  <c r="Y126" i="9"/>
  <c r="V127" i="9"/>
  <c r="W127" i="9"/>
  <c r="X127" i="9"/>
  <c r="Y127" i="9"/>
  <c r="V128" i="9"/>
  <c r="W128" i="9"/>
  <c r="X128" i="9"/>
  <c r="Y128" i="9"/>
  <c r="V129" i="9"/>
  <c r="W129" i="9"/>
  <c r="X129" i="9"/>
  <c r="Y129" i="9"/>
  <c r="V130" i="9"/>
  <c r="W130" i="9"/>
  <c r="X130" i="9"/>
  <c r="Y130" i="9"/>
  <c r="V131" i="9"/>
  <c r="W131" i="9"/>
  <c r="X131" i="9"/>
  <c r="Y131" i="9"/>
  <c r="V173" i="9"/>
  <c r="W173" i="9"/>
  <c r="V133" i="9"/>
  <c r="W133" i="9"/>
  <c r="X133" i="9"/>
  <c r="Y133" i="9"/>
  <c r="V134" i="9"/>
  <c r="W134" i="9"/>
  <c r="X134" i="9"/>
  <c r="Y134" i="9"/>
  <c r="V135" i="9"/>
  <c r="W135" i="9"/>
  <c r="X135" i="9"/>
  <c r="Y135" i="9"/>
  <c r="V136" i="9"/>
  <c r="W136" i="9"/>
  <c r="X136" i="9"/>
  <c r="Y136" i="9"/>
  <c r="V137" i="9"/>
  <c r="W137" i="9"/>
  <c r="X137" i="9"/>
  <c r="Y137" i="9"/>
  <c r="V138" i="9"/>
  <c r="W138" i="9"/>
  <c r="X138" i="9"/>
  <c r="Y138" i="9"/>
  <c r="V139" i="9"/>
  <c r="W139" i="9"/>
  <c r="X139" i="9"/>
  <c r="Y139" i="9"/>
  <c r="V140" i="9"/>
  <c r="W140" i="9"/>
  <c r="X140" i="9"/>
  <c r="Y140" i="9"/>
  <c r="V141" i="9"/>
  <c r="W141" i="9"/>
  <c r="X141" i="9"/>
  <c r="Y141" i="9"/>
  <c r="V142" i="9"/>
  <c r="W142" i="9"/>
  <c r="X142" i="9"/>
  <c r="Y142" i="9"/>
  <c r="V143" i="9"/>
  <c r="W143" i="9"/>
  <c r="X143" i="9"/>
  <c r="Y143" i="9"/>
  <c r="V144" i="9"/>
  <c r="W144" i="9"/>
  <c r="X144" i="9"/>
  <c r="Y144" i="9"/>
  <c r="V145" i="9"/>
  <c r="W145" i="9"/>
  <c r="X145" i="9"/>
  <c r="Y145" i="9"/>
  <c r="V146" i="9"/>
  <c r="W146" i="9"/>
  <c r="X146" i="9"/>
  <c r="Y146" i="9"/>
  <c r="V147" i="9"/>
  <c r="W147" i="9"/>
  <c r="X147" i="9"/>
  <c r="Y147" i="9"/>
  <c r="V148" i="9"/>
  <c r="W148" i="9"/>
  <c r="X148" i="9"/>
  <c r="Y148" i="9"/>
  <c r="V149" i="9"/>
  <c r="W149" i="9"/>
  <c r="X149" i="9"/>
  <c r="Y149" i="9"/>
  <c r="V150" i="9"/>
  <c r="W150" i="9"/>
  <c r="X150" i="9"/>
  <c r="Y150" i="9"/>
  <c r="V151" i="9"/>
  <c r="W151" i="9"/>
  <c r="X151" i="9"/>
  <c r="Y151" i="9"/>
  <c r="V174" i="9"/>
  <c r="W174" i="9"/>
  <c r="V153" i="9"/>
  <c r="W153" i="9"/>
  <c r="X153" i="9"/>
  <c r="Y153" i="9"/>
  <c r="V154" i="9"/>
  <c r="W154" i="9"/>
  <c r="X154" i="9"/>
  <c r="Y154" i="9"/>
  <c r="V155" i="9"/>
  <c r="W155" i="9"/>
  <c r="X155" i="9"/>
  <c r="Y155" i="9"/>
  <c r="V156" i="9"/>
  <c r="W156" i="9"/>
  <c r="X156" i="9"/>
  <c r="Y156" i="9"/>
  <c r="V157" i="9"/>
  <c r="W157" i="9"/>
  <c r="X157" i="9"/>
  <c r="Y157" i="9"/>
  <c r="V158" i="9"/>
  <c r="W158" i="9"/>
  <c r="X158" i="9"/>
  <c r="Y158" i="9"/>
  <c r="V159" i="9"/>
  <c r="W159" i="9"/>
  <c r="X159" i="9"/>
  <c r="Y159" i="9"/>
  <c r="V160" i="9"/>
  <c r="W160" i="9"/>
  <c r="X160" i="9"/>
  <c r="Y160" i="9"/>
  <c r="V161" i="9"/>
  <c r="W161" i="9"/>
  <c r="X161" i="9"/>
  <c r="Y161" i="9"/>
  <c r="V162" i="9"/>
  <c r="W162" i="9"/>
  <c r="X162" i="9"/>
  <c r="Y162" i="9"/>
  <c r="V163" i="9"/>
  <c r="W163" i="9"/>
  <c r="X163" i="9"/>
  <c r="Y163" i="9"/>
  <c r="V164" i="9"/>
  <c r="W164" i="9"/>
  <c r="X164" i="9"/>
  <c r="Y164" i="9"/>
  <c r="V165" i="9"/>
  <c r="W165" i="9"/>
  <c r="X165" i="9"/>
  <c r="Y165" i="9"/>
  <c r="G8" i="7"/>
  <c r="W166" i="9" l="1"/>
  <c r="V166" i="9"/>
  <c r="Y132" i="9"/>
  <c r="X132" i="9"/>
  <c r="W132" i="9"/>
  <c r="V132" i="9"/>
  <c r="Y113" i="9"/>
  <c r="X113" i="9"/>
  <c r="W113" i="9"/>
  <c r="V113" i="9"/>
  <c r="Y96" i="9"/>
  <c r="X96" i="9"/>
  <c r="W96" i="9"/>
  <c r="V96" i="9"/>
  <c r="Y69" i="9"/>
  <c r="X69" i="9"/>
  <c r="W69" i="9"/>
  <c r="V69" i="9"/>
  <c r="Y53" i="9"/>
  <c r="X53" i="9"/>
  <c r="W53" i="9"/>
  <c r="V53" i="9"/>
  <c r="Y38" i="9"/>
  <c r="X38" i="9"/>
  <c r="W38" i="9"/>
  <c r="V38" i="9"/>
  <c r="Y11" i="9"/>
  <c r="X11" i="9"/>
  <c r="W11" i="9"/>
  <c r="V11" i="9"/>
  <c r="U152" i="9"/>
  <c r="U10" i="9" s="1"/>
  <c r="U175" i="9" s="1"/>
  <c r="T152" i="9"/>
  <c r="T10" i="9" s="1"/>
  <c r="T175" i="9" s="1"/>
  <c r="S152" i="9"/>
  <c r="S10" i="9" s="1"/>
  <c r="S175" i="9" s="1"/>
  <c r="R152" i="9"/>
  <c r="R10" i="9" s="1"/>
  <c r="R175" i="9" s="1"/>
  <c r="Q152" i="9"/>
  <c r="P152" i="9"/>
  <c r="O152" i="9"/>
  <c r="N152" i="9"/>
  <c r="M152" i="9"/>
  <c r="M10" i="9" s="1"/>
  <c r="M175" i="9" s="1"/>
  <c r="L152" i="9"/>
  <c r="L10" i="9" s="1"/>
  <c r="L175" i="9" s="1"/>
  <c r="K152" i="9"/>
  <c r="K10" i="9" s="1"/>
  <c r="K175" i="9" s="1"/>
  <c r="J152" i="9"/>
  <c r="J10" i="9" s="1"/>
  <c r="J175" i="9" s="1"/>
  <c r="I152" i="9"/>
  <c r="I10" i="9" s="1"/>
  <c r="I175" i="9" s="1"/>
  <c r="H152" i="9"/>
  <c r="H10" i="9" s="1"/>
  <c r="H175" i="9" s="1"/>
  <c r="G152" i="9"/>
  <c r="G10" i="9" s="1"/>
  <c r="G175" i="9" s="1"/>
  <c r="V152" i="9" l="1"/>
  <c r="N10" i="9"/>
  <c r="N175" i="9" s="1"/>
  <c r="W152" i="9"/>
  <c r="O10" i="9"/>
  <c r="O175" i="9" s="1"/>
  <c r="X152" i="9"/>
  <c r="P10" i="9"/>
  <c r="P175" i="9" s="1"/>
  <c r="Y152" i="9"/>
  <c r="Q10" i="9"/>
  <c r="Q175" i="9" s="1"/>
  <c r="V10" i="9"/>
  <c r="V175" i="9" s="1"/>
  <c r="W10" i="9"/>
  <c r="W175" i="9" s="1"/>
  <c r="X10" i="9"/>
  <c r="X175" i="9" s="1"/>
  <c r="Y10" i="9"/>
  <c r="Y175" i="9" s="1"/>
  <c r="E8" i="5"/>
  <c r="F8" i="5" s="1"/>
  <c r="H8" i="7"/>
  <c r="C127" i="2" l="1"/>
  <c r="G24" i="6" l="1"/>
  <c r="H24" i="6" s="1"/>
  <c r="G23" i="6" l="1"/>
  <c r="H23" i="6" s="1"/>
  <c r="G64" i="6"/>
  <c r="H64" i="6" s="1"/>
  <c r="G63" i="6"/>
  <c r="H63" i="6" s="1"/>
  <c r="G62" i="6"/>
  <c r="H62" i="6" s="1"/>
  <c r="G61" i="6"/>
  <c r="H61" i="6" s="1"/>
  <c r="G60" i="6"/>
  <c r="H60" i="6" s="1"/>
  <c r="G59" i="6"/>
  <c r="H59" i="6" s="1"/>
  <c r="G58" i="6"/>
  <c r="H58" i="6" s="1"/>
  <c r="G56" i="6" l="1"/>
  <c r="G55" i="6"/>
  <c r="H55" i="6" s="1"/>
  <c r="G54" i="6"/>
  <c r="H54" i="6" s="1"/>
  <c r="G53" i="6"/>
  <c r="H53" i="6" s="1"/>
  <c r="G52" i="6"/>
  <c r="H52" i="6" s="1"/>
  <c r="G49" i="6"/>
  <c r="H49" i="6" s="1"/>
  <c r="G48" i="6"/>
  <c r="H48" i="6" s="1"/>
  <c r="G47" i="6"/>
  <c r="H47" i="6" s="1"/>
  <c r="G46" i="6"/>
  <c r="H46" i="6" s="1"/>
  <c r="G45" i="6"/>
  <c r="H45" i="6" s="1"/>
  <c r="G44" i="6"/>
  <c r="H44" i="6" s="1"/>
  <c r="G40" i="6"/>
  <c r="H40" i="6" s="1"/>
  <c r="E40" i="6"/>
  <c r="F40" i="6" s="1"/>
  <c r="G39" i="6"/>
  <c r="H39" i="6" s="1"/>
  <c r="E39" i="6"/>
  <c r="F39" i="6" s="1"/>
  <c r="G38" i="6"/>
  <c r="H38" i="6" s="1"/>
  <c r="E38" i="6"/>
  <c r="F38" i="6" s="1"/>
  <c r="G37" i="6"/>
  <c r="H37" i="6" s="1"/>
  <c r="E37" i="6"/>
  <c r="F37" i="6" s="1"/>
  <c r="G50" i="6" l="1"/>
  <c r="G36" i="6" l="1"/>
  <c r="H36" i="6" s="1"/>
  <c r="E36" i="6"/>
  <c r="F36" i="6" s="1"/>
  <c r="G33" i="6"/>
  <c r="H33" i="6" s="1"/>
  <c r="G32" i="6"/>
  <c r="H32" i="6" s="1"/>
  <c r="G31" i="6"/>
  <c r="H31" i="6" s="1"/>
  <c r="G30" i="6"/>
  <c r="H30" i="6" s="1"/>
  <c r="G15" i="6" l="1"/>
  <c r="H15" i="6" s="1"/>
  <c r="G14" i="6"/>
  <c r="H14" i="6" s="1"/>
  <c r="G11" i="6" l="1"/>
  <c r="H11" i="6" s="1"/>
  <c r="G10" i="6"/>
  <c r="H10" i="6" s="1"/>
  <c r="G9" i="6"/>
  <c r="H9" i="6" s="1"/>
  <c r="G7" i="6" l="1"/>
  <c r="G43" i="6"/>
  <c r="H43" i="6" s="1"/>
  <c r="G41" i="6" l="1"/>
  <c r="G25" i="6" l="1"/>
  <c r="H25" i="6" s="1"/>
  <c r="G22" i="6"/>
  <c r="H22" i="6" s="1"/>
  <c r="G21" i="6"/>
  <c r="H21" i="6" s="1"/>
  <c r="G18" i="6"/>
  <c r="H18" i="6" s="1"/>
  <c r="G17" i="6"/>
  <c r="H17" i="6" s="1"/>
  <c r="G20" i="6" l="1"/>
  <c r="G12" i="6"/>
  <c r="G29" i="6"/>
  <c r="H29" i="6" s="1"/>
  <c r="G28" i="6" l="1"/>
  <c r="G26" i="6" l="1"/>
  <c r="H28" i="6"/>
  <c r="E8" i="7"/>
  <c r="D8" i="7"/>
  <c r="C8" i="7"/>
  <c r="B8" i="7"/>
  <c r="F172" i="2" l="1"/>
  <c r="F152" i="2"/>
  <c r="F151" i="2"/>
  <c r="F153" i="2"/>
  <c r="F154" i="2"/>
  <c r="F155" i="2"/>
  <c r="F156" i="2"/>
  <c r="F157" i="2"/>
  <c r="F158" i="2"/>
  <c r="F159" i="2"/>
  <c r="F160" i="2"/>
  <c r="F161" i="2"/>
  <c r="F162" i="2"/>
  <c r="F163" i="2"/>
  <c r="F164" i="2"/>
  <c r="F165" i="2"/>
  <c r="F166" i="2"/>
  <c r="F167" i="2"/>
  <c r="F168" i="2"/>
  <c r="F169" i="2"/>
  <c r="F170" i="2"/>
  <c r="F171" i="2"/>
  <c r="F173" i="2"/>
  <c r="F174" i="2"/>
  <c r="F176" i="2"/>
  <c r="F177" i="2"/>
  <c r="E149" i="2"/>
  <c r="C177" i="2"/>
  <c r="D177" i="2" s="1"/>
  <c r="C176" i="2"/>
  <c r="D176" i="2" s="1"/>
  <c r="C174" i="2"/>
  <c r="D174" i="2" s="1"/>
  <c r="C173" i="2"/>
  <c r="D173" i="2" s="1"/>
  <c r="C172" i="2"/>
  <c r="D172" i="2" s="1"/>
  <c r="C171" i="2"/>
  <c r="D171" i="2" s="1"/>
  <c r="C170" i="2"/>
  <c r="D170" i="2" s="1"/>
  <c r="C169" i="2"/>
  <c r="D169" i="2" s="1"/>
  <c r="C168" i="2"/>
  <c r="D168" i="2" s="1"/>
  <c r="C167" i="2"/>
  <c r="D167" i="2" s="1"/>
  <c r="C166" i="2"/>
  <c r="D166" i="2" s="1"/>
  <c r="C165" i="2"/>
  <c r="C164" i="2"/>
  <c r="D164" i="2" s="1"/>
  <c r="C163" i="2"/>
  <c r="D163" i="2" s="1"/>
  <c r="C162" i="2"/>
  <c r="D162" i="2" s="1"/>
  <c r="C161" i="2"/>
  <c r="C160" i="2"/>
  <c r="D160" i="2" s="1"/>
  <c r="C159" i="2"/>
  <c r="D159" i="2" s="1"/>
  <c r="C158" i="2"/>
  <c r="D158" i="2" s="1"/>
  <c r="C157" i="2"/>
  <c r="C156" i="2"/>
  <c r="C155" i="2"/>
  <c r="C154" i="2"/>
  <c r="D154" i="2" s="1"/>
  <c r="C153" i="2"/>
  <c r="C152" i="2"/>
  <c r="D152" i="2" s="1"/>
  <c r="C151" i="2"/>
  <c r="E132" i="2"/>
  <c r="F146" i="2"/>
  <c r="F140" i="2"/>
  <c r="F135" i="2"/>
  <c r="F136" i="2"/>
  <c r="F137" i="2"/>
  <c r="F138" i="2"/>
  <c r="F139" i="2"/>
  <c r="F141" i="2"/>
  <c r="F142" i="2"/>
  <c r="F143" i="2"/>
  <c r="F144" i="2"/>
  <c r="F145" i="2"/>
  <c r="F148" i="2"/>
  <c r="F134" i="2"/>
  <c r="C148" i="2"/>
  <c r="C140" i="2"/>
  <c r="C139" i="2"/>
  <c r="D139" i="2" s="1"/>
  <c r="C138" i="2"/>
  <c r="C137" i="2"/>
  <c r="D137" i="2" s="1"/>
  <c r="C136" i="2"/>
  <c r="C135" i="2"/>
  <c r="C134" i="2"/>
  <c r="C146" i="2"/>
  <c r="D146" i="2" s="1"/>
  <c r="C145" i="2"/>
  <c r="D145" i="2" s="1"/>
  <c r="C144" i="2"/>
  <c r="D144" i="2" s="1"/>
  <c r="C143" i="2"/>
  <c r="C142" i="2"/>
  <c r="C141" i="2"/>
  <c r="D141" i="2" s="1"/>
  <c r="F111" i="2"/>
  <c r="F106" i="2"/>
  <c r="F107" i="2"/>
  <c r="F108" i="2"/>
  <c r="F109" i="2"/>
  <c r="F110" i="2"/>
  <c r="F112" i="2"/>
  <c r="F113" i="2"/>
  <c r="F114" i="2"/>
  <c r="F115" i="2"/>
  <c r="F116" i="2"/>
  <c r="F117" i="2"/>
  <c r="F118" i="2"/>
  <c r="F119" i="2"/>
  <c r="F120" i="2"/>
  <c r="F121" i="2"/>
  <c r="F122" i="2"/>
  <c r="F123" i="2"/>
  <c r="F124" i="2"/>
  <c r="F125" i="2"/>
  <c r="F126" i="2"/>
  <c r="F127" i="2"/>
  <c r="F105" i="2"/>
  <c r="F130" i="2"/>
  <c r="F131" i="2"/>
  <c r="F129" i="2"/>
  <c r="E103" i="2"/>
  <c r="E53" i="6" l="1"/>
  <c r="F53" i="6" s="1"/>
  <c r="D134" i="2"/>
  <c r="E52" i="6"/>
  <c r="D138" i="2"/>
  <c r="E54" i="6"/>
  <c r="F54" i="6" s="1"/>
  <c r="E55" i="6"/>
  <c r="F55" i="6" s="1"/>
  <c r="D151" i="2"/>
  <c r="E64" i="6"/>
  <c r="F64" i="6" s="1"/>
  <c r="D153" i="2"/>
  <c r="E58" i="6"/>
  <c r="E59" i="6"/>
  <c r="F59" i="6" s="1"/>
  <c r="D155" i="2"/>
  <c r="D156" i="2"/>
  <c r="E63" i="6"/>
  <c r="F63" i="6" s="1"/>
  <c r="D157" i="2"/>
  <c r="E60" i="6"/>
  <c r="F60" i="6" s="1"/>
  <c r="D161" i="2"/>
  <c r="E61" i="6"/>
  <c r="F61" i="6" s="1"/>
  <c r="D165" i="2"/>
  <c r="E62" i="6"/>
  <c r="F62" i="6" s="1"/>
  <c r="D135" i="2"/>
  <c r="D136" i="2"/>
  <c r="D140" i="2"/>
  <c r="D143" i="2"/>
  <c r="D142" i="2"/>
  <c r="D148" i="2"/>
  <c r="C149" i="2"/>
  <c r="C132" i="2"/>
  <c r="F58" i="6" l="1"/>
  <c r="E56" i="6"/>
  <c r="F52" i="6"/>
  <c r="E50" i="6"/>
  <c r="D127" i="2"/>
  <c r="C126" i="2"/>
  <c r="D126" i="2" s="1"/>
  <c r="C125" i="2"/>
  <c r="D125" i="2" s="1"/>
  <c r="C124" i="2"/>
  <c r="C123" i="2"/>
  <c r="D123" i="2" s="1"/>
  <c r="C122" i="2"/>
  <c r="D122" i="2" s="1"/>
  <c r="C121" i="2"/>
  <c r="D121" i="2" s="1"/>
  <c r="C120" i="2"/>
  <c r="D120" i="2" s="1"/>
  <c r="C119" i="2"/>
  <c r="D119" i="2" s="1"/>
  <c r="C118" i="2"/>
  <c r="C117" i="2"/>
  <c r="D117" i="2" s="1"/>
  <c r="C116" i="2"/>
  <c r="C115" i="2"/>
  <c r="D115" i="2" s="1"/>
  <c r="C114" i="2"/>
  <c r="C113" i="2"/>
  <c r="D113" i="2" s="1"/>
  <c r="C112" i="2"/>
  <c r="D112" i="2" s="1"/>
  <c r="C111" i="2"/>
  <c r="C110" i="2"/>
  <c r="C109" i="2"/>
  <c r="D109" i="2" s="1"/>
  <c r="C108" i="2"/>
  <c r="C107" i="2"/>
  <c r="D107" i="2" s="1"/>
  <c r="C106" i="2"/>
  <c r="D106" i="2" s="1"/>
  <c r="C105" i="2"/>
  <c r="C131" i="2"/>
  <c r="D131" i="2" s="1"/>
  <c r="C130" i="2"/>
  <c r="D130" i="2" s="1"/>
  <c r="C129" i="2"/>
  <c r="D129" i="2" s="1"/>
  <c r="F87" i="2"/>
  <c r="F88" i="2"/>
  <c r="F89" i="2"/>
  <c r="F90" i="2"/>
  <c r="F91" i="2"/>
  <c r="F92" i="2"/>
  <c r="F93" i="2"/>
  <c r="F94" i="2"/>
  <c r="F95" i="2"/>
  <c r="F96" i="2"/>
  <c r="F97" i="2"/>
  <c r="F98" i="2"/>
  <c r="F99" i="2"/>
  <c r="F100" i="2"/>
  <c r="F101" i="2"/>
  <c r="F86" i="2"/>
  <c r="D87" i="2"/>
  <c r="D88" i="2"/>
  <c r="D89" i="2"/>
  <c r="D90" i="2"/>
  <c r="D91" i="2"/>
  <c r="D92" i="2"/>
  <c r="D93" i="2"/>
  <c r="D94" i="2"/>
  <c r="D95" i="2"/>
  <c r="D96" i="2"/>
  <c r="D97" i="2"/>
  <c r="D98" i="2"/>
  <c r="D99" i="2"/>
  <c r="D100" i="2"/>
  <c r="D101" i="2"/>
  <c r="D86" i="2"/>
  <c r="E84" i="2"/>
  <c r="C84" i="2"/>
  <c r="F70" i="2"/>
  <c r="F71" i="2"/>
  <c r="F72" i="2"/>
  <c r="F73" i="2"/>
  <c r="F74" i="2"/>
  <c r="F75" i="2"/>
  <c r="F76" i="2"/>
  <c r="F77" i="2"/>
  <c r="F78" i="2"/>
  <c r="F79" i="2"/>
  <c r="F80" i="2"/>
  <c r="F81" i="2"/>
  <c r="F69" i="2"/>
  <c r="F65" i="2"/>
  <c r="F66" i="2"/>
  <c r="F67" i="2"/>
  <c r="F64" i="2"/>
  <c r="F68" i="2"/>
  <c r="F83" i="2"/>
  <c r="E62" i="2"/>
  <c r="C83" i="2"/>
  <c r="D83" i="2" s="1"/>
  <c r="C81" i="2"/>
  <c r="D81" i="2" s="1"/>
  <c r="C80" i="2"/>
  <c r="D80" i="2" s="1"/>
  <c r="C79" i="2"/>
  <c r="D79" i="2" s="1"/>
  <c r="C78" i="2"/>
  <c r="D78" i="2" s="1"/>
  <c r="C77" i="2"/>
  <c r="C76" i="2"/>
  <c r="C75" i="2"/>
  <c r="D75" i="2" s="1"/>
  <c r="C74" i="2"/>
  <c r="D74" i="2" s="1"/>
  <c r="C73" i="2"/>
  <c r="D73" i="2" s="1"/>
  <c r="C72" i="2"/>
  <c r="C71" i="2"/>
  <c r="C70" i="2"/>
  <c r="C69" i="2"/>
  <c r="C68" i="2"/>
  <c r="C67" i="2"/>
  <c r="C66" i="2"/>
  <c r="D66" i="2" s="1"/>
  <c r="C65" i="2"/>
  <c r="C64" i="2"/>
  <c r="D64" i="2" s="1"/>
  <c r="F61" i="2"/>
  <c r="F58" i="2"/>
  <c r="F56" i="2"/>
  <c r="F55" i="2"/>
  <c r="F54" i="2"/>
  <c r="F53" i="2"/>
  <c r="F50" i="2"/>
  <c r="F59" i="2"/>
  <c r="F57" i="2"/>
  <c r="F52" i="2"/>
  <c r="F51" i="2"/>
  <c r="F49" i="2"/>
  <c r="F48" i="2"/>
  <c r="E30" i="6" l="1"/>
  <c r="F30" i="6" s="1"/>
  <c r="E31" i="6"/>
  <c r="F31" i="6" s="1"/>
  <c r="D70" i="2"/>
  <c r="E32" i="6"/>
  <c r="F32" i="6" s="1"/>
  <c r="E33" i="6"/>
  <c r="F33" i="6" s="1"/>
  <c r="D108" i="2"/>
  <c r="E48" i="6"/>
  <c r="F48" i="6" s="1"/>
  <c r="D110" i="2"/>
  <c r="E46" i="6"/>
  <c r="F46" i="6" s="1"/>
  <c r="D111" i="2"/>
  <c r="E43" i="6"/>
  <c r="D114" i="2"/>
  <c r="E44" i="6"/>
  <c r="F44" i="6" s="1"/>
  <c r="D116" i="2"/>
  <c r="E49" i="6"/>
  <c r="F49" i="6" s="1"/>
  <c r="D118" i="2"/>
  <c r="E45" i="6"/>
  <c r="F45" i="6" s="1"/>
  <c r="D124" i="2"/>
  <c r="E47" i="6"/>
  <c r="F47" i="6" s="1"/>
  <c r="D68" i="2"/>
  <c r="E28" i="6"/>
  <c r="D65" i="2"/>
  <c r="D69" i="2"/>
  <c r="D77" i="2"/>
  <c r="D76" i="2"/>
  <c r="D72" i="2"/>
  <c r="E29" i="6"/>
  <c r="F29" i="6" s="1"/>
  <c r="D67" i="2"/>
  <c r="D71" i="2"/>
  <c r="C62" i="2"/>
  <c r="D105" i="2"/>
  <c r="C103" i="2"/>
  <c r="E46" i="2"/>
  <c r="C61" i="2"/>
  <c r="D61" i="2" s="1"/>
  <c r="C59" i="2"/>
  <c r="C58" i="2"/>
  <c r="D58" i="2" s="1"/>
  <c r="C57" i="2"/>
  <c r="C56" i="2"/>
  <c r="D56" i="2" s="1"/>
  <c r="C55" i="2"/>
  <c r="D55" i="2" s="1"/>
  <c r="C54" i="2"/>
  <c r="D54" i="2" s="1"/>
  <c r="C53" i="2"/>
  <c r="C52" i="2"/>
  <c r="D52" i="2" s="1"/>
  <c r="C51" i="2"/>
  <c r="C50" i="2"/>
  <c r="D50" i="2" s="1"/>
  <c r="C49" i="2"/>
  <c r="D49" i="2" s="1"/>
  <c r="C48" i="2"/>
  <c r="E26" i="2"/>
  <c r="F41" i="2"/>
  <c r="F42" i="2"/>
  <c r="F43" i="2"/>
  <c r="F44" i="2"/>
  <c r="F45" i="2"/>
  <c r="F40" i="2"/>
  <c r="F29" i="2"/>
  <c r="F30" i="2"/>
  <c r="F31" i="2"/>
  <c r="F32" i="2"/>
  <c r="F33" i="2"/>
  <c r="F34" i="2"/>
  <c r="F35" i="2"/>
  <c r="F36" i="2"/>
  <c r="F37" i="2"/>
  <c r="F28" i="2"/>
  <c r="D48" i="2" l="1"/>
  <c r="E21" i="6"/>
  <c r="D51" i="2"/>
  <c r="C8" i="5"/>
  <c r="D8" i="5" s="1"/>
  <c r="E25" i="6"/>
  <c r="F25" i="6" s="1"/>
  <c r="D53" i="2"/>
  <c r="E24" i="6"/>
  <c r="F24" i="6" s="1"/>
  <c r="D57" i="2"/>
  <c r="E22" i="6"/>
  <c r="F22" i="6" s="1"/>
  <c r="D59" i="2"/>
  <c r="E23" i="6"/>
  <c r="F23" i="6" s="1"/>
  <c r="F28" i="6"/>
  <c r="E26" i="6"/>
  <c r="F43" i="6"/>
  <c r="E41" i="6"/>
  <c r="C46" i="2"/>
  <c r="C37" i="2"/>
  <c r="C36" i="2"/>
  <c r="D36" i="2" s="1"/>
  <c r="C35" i="2"/>
  <c r="D35" i="2" s="1"/>
  <c r="C34" i="2"/>
  <c r="C33" i="2"/>
  <c r="D33" i="2" s="1"/>
  <c r="C32" i="2"/>
  <c r="D32" i="2" s="1"/>
  <c r="C31" i="2"/>
  <c r="D31" i="2" s="1"/>
  <c r="C30" i="2"/>
  <c r="D30" i="2" s="1"/>
  <c r="C29" i="2"/>
  <c r="D29" i="2" s="1"/>
  <c r="C28" i="2"/>
  <c r="C45" i="2"/>
  <c r="D45" i="2" s="1"/>
  <c r="C44" i="2"/>
  <c r="D44" i="2" s="1"/>
  <c r="C43" i="2"/>
  <c r="D43" i="2" s="1"/>
  <c r="C42" i="2"/>
  <c r="D42" i="2" s="1"/>
  <c r="C41" i="2"/>
  <c r="D41" i="2" s="1"/>
  <c r="C40" i="2"/>
  <c r="E14" i="6" l="1"/>
  <c r="D40" i="2"/>
  <c r="E18" i="6"/>
  <c r="F18" i="6" s="1"/>
  <c r="F14" i="6"/>
  <c r="D34" i="2"/>
  <c r="E15" i="6"/>
  <c r="D37" i="2"/>
  <c r="E17" i="6"/>
  <c r="F17" i="6" s="1"/>
  <c r="F21" i="6"/>
  <c r="E20" i="6"/>
  <c r="C26" i="2"/>
  <c r="D28" i="2"/>
  <c r="F10" i="2"/>
  <c r="F11" i="2"/>
  <c r="F12" i="2"/>
  <c r="F13" i="2"/>
  <c r="F14" i="2"/>
  <c r="F9" i="2"/>
  <c r="F18" i="2"/>
  <c r="F19" i="2"/>
  <c r="F20" i="2"/>
  <c r="F21" i="2"/>
  <c r="F22" i="2"/>
  <c r="F23" i="2"/>
  <c r="F24" i="2"/>
  <c r="F25" i="2"/>
  <c r="F17" i="2"/>
  <c r="F15" i="6" l="1"/>
  <c r="E12" i="6"/>
  <c r="C25" i="2"/>
  <c r="C24" i="2"/>
  <c r="D24" i="2" s="1"/>
  <c r="C23" i="2"/>
  <c r="D23" i="2" s="1"/>
  <c r="C22" i="2"/>
  <c r="D22" i="2" s="1"/>
  <c r="C21" i="2"/>
  <c r="D21" i="2" s="1"/>
  <c r="C20" i="2"/>
  <c r="D20" i="2" s="1"/>
  <c r="C19" i="2"/>
  <c r="C18" i="2"/>
  <c r="C17" i="2"/>
  <c r="D17" i="2" s="1"/>
  <c r="C14" i="2"/>
  <c r="C13" i="2"/>
  <c r="C12" i="2"/>
  <c r="D12" i="2" s="1"/>
  <c r="C11" i="2"/>
  <c r="C10" i="2"/>
  <c r="C9" i="2"/>
  <c r="E7" i="2"/>
  <c r="E10" i="6" l="1"/>
  <c r="F10" i="6" s="1"/>
  <c r="F9" i="6"/>
  <c r="D13" i="2"/>
  <c r="D9" i="2"/>
  <c r="D19" i="2"/>
  <c r="D14" i="2"/>
  <c r="D18" i="2"/>
  <c r="C7" i="2"/>
  <c r="D10" i="2"/>
  <c r="D11" i="2"/>
  <c r="D25" i="2"/>
  <c r="F11" i="6" l="1"/>
  <c r="E7" i="6"/>
</calcChain>
</file>

<file path=xl/sharedStrings.xml><?xml version="1.0" encoding="utf-8"?>
<sst xmlns="http://schemas.openxmlformats.org/spreadsheetml/2006/main" count="1367" uniqueCount="408">
  <si>
    <t>TỈNH QUẢNG BÌNH</t>
  </si>
  <si>
    <t>Tên ĐVHC</t>
  </si>
  <si>
    <t>Diện tích tự nhiên</t>
  </si>
  <si>
    <t>Quy mô dân số</t>
  </si>
  <si>
    <t>Số
TT</t>
  </si>
  <si>
    <t>Khu vực miền núi, vùng cao</t>
  </si>
  <si>
    <t>Khu vực hải đảo</t>
  </si>
  <si>
    <t>Phường Bắc lý</t>
  </si>
  <si>
    <t>Phường Nam Lý</t>
  </si>
  <si>
    <t>Phường Đồng Phú</t>
  </si>
  <si>
    <t>Phường Đồng Sơn</t>
  </si>
  <si>
    <t>Xã Bảo Ninh</t>
  </si>
  <si>
    <t>Xã Lộc Ninh</t>
  </si>
  <si>
    <t>Phường Bắc Nghĩa</t>
  </si>
  <si>
    <t>Phường Đồng Hải</t>
  </si>
  <si>
    <t>Phường Đức Ninh Đông</t>
  </si>
  <si>
    <t>Phường Hải Thành</t>
  </si>
  <si>
    <t>Phường Phú Hải</t>
  </si>
  <si>
    <t>Xã Đức Ninh</t>
  </si>
  <si>
    <t>Xã Quang Phú</t>
  </si>
  <si>
    <t>Xã Thuận Đức</t>
  </si>
  <si>
    <t>Xã Nghĩa Ninh</t>
  </si>
  <si>
    <t>I</t>
  </si>
  <si>
    <t>Thành phố Đồng Hới</t>
  </si>
  <si>
    <t>Quy mô dân số (người)</t>
  </si>
  <si>
    <t>Yếu tố đặc thù
(nếu có)</t>
  </si>
  <si>
    <t>Các xã:</t>
  </si>
  <si>
    <t>Các thị trấn:</t>
  </si>
  <si>
    <t>Các phường:</t>
  </si>
  <si>
    <t>1.1</t>
  </si>
  <si>
    <t>1.2</t>
  </si>
  <si>
    <t>1.3</t>
  </si>
  <si>
    <t>1.4</t>
  </si>
  <si>
    <t>1.5</t>
  </si>
  <si>
    <t>1.6</t>
  </si>
  <si>
    <t>3.1</t>
  </si>
  <si>
    <t>3.2</t>
  </si>
  <si>
    <t>3.3</t>
  </si>
  <si>
    <t>3.4</t>
  </si>
  <si>
    <t>3.5</t>
  </si>
  <si>
    <t>3.6</t>
  </si>
  <si>
    <t>3.7</t>
  </si>
  <si>
    <t>3.8</t>
  </si>
  <si>
    <t>3.9</t>
  </si>
  <si>
    <t>Tỷ lệ 
(%)</t>
  </si>
  <si>
    <t>II</t>
  </si>
  <si>
    <t>Thị xã Ba Đồn</t>
  </si>
  <si>
    <t>Phường Quảng Phúc</t>
  </si>
  <si>
    <t>Phường Quảng Thuận</t>
  </si>
  <si>
    <t>Phường Quảng Thọ</t>
  </si>
  <si>
    <t>Phường Ba Đồn</t>
  </si>
  <si>
    <t>Phường Quảng Long</t>
  </si>
  <si>
    <t>Phường Quảng Phong</t>
  </si>
  <si>
    <t>Xã Quảng Hòa</t>
  </si>
  <si>
    <t>Xã Quảng Lộc</t>
  </si>
  <si>
    <t>Xã Quảng Văn</t>
  </si>
  <si>
    <t>Xã Quảng Minh</t>
  </si>
  <si>
    <t>Xã Quảng Sơn</t>
  </si>
  <si>
    <t>Xã Quảng Thủy</t>
  </si>
  <si>
    <t>Xã Quảng Tân</t>
  </si>
  <si>
    <t>Xã Quảng Trung</t>
  </si>
  <si>
    <t>Xã Quảng Tiên</t>
  </si>
  <si>
    <t>Xã Quảng Hải</t>
  </si>
  <si>
    <t>Thị trấn Quy Đạt</t>
  </si>
  <si>
    <t>Xã Dân Hóa</t>
  </si>
  <si>
    <t>X</t>
  </si>
  <si>
    <t>Xã Trọng Hóa</t>
  </si>
  <si>
    <t>Xã Hồng Hóa</t>
  </si>
  <si>
    <t>Xã Tân Thành</t>
  </si>
  <si>
    <t>Xã Hóa Hợp</t>
  </si>
  <si>
    <t>Xã Xuân Hóa</t>
  </si>
  <si>
    <t>Xã Yên Hóa</t>
  </si>
  <si>
    <t>Xã Minh Hóa</t>
  </si>
  <si>
    <t>Xã Tân Hóa</t>
  </si>
  <si>
    <t>Xã Hóa Sơn</t>
  </si>
  <si>
    <t>Xã Trung Hóa</t>
  </si>
  <si>
    <t>Xã Thượng Hóa</t>
  </si>
  <si>
    <t>Thị trấn Đồng Lê</t>
  </si>
  <si>
    <t>Xã Thanh Hóa</t>
  </si>
  <si>
    <t>Xã Kim Hóa</t>
  </si>
  <si>
    <t>Xã Thạch Hóa</t>
  </si>
  <si>
    <t>Xã Ngư Hoá</t>
  </si>
  <si>
    <t>Xã Lâm Hóa</t>
  </si>
  <si>
    <t>Xã Đồng Hóa</t>
  </si>
  <si>
    <t>Xã Phong Hóa</t>
  </si>
  <si>
    <t>Xã Châu Hóa</t>
  </si>
  <si>
    <t>Xã Thanh Thạch</t>
  </si>
  <si>
    <t>Xã Cao Quảng</t>
  </si>
  <si>
    <t>xã Mai Hóa</t>
  </si>
  <si>
    <t>Xã Thuận Hóa</t>
  </si>
  <si>
    <t>Xã Tiến Hóa</t>
  </si>
  <si>
    <t>Xã Đức Hóa</t>
  </si>
  <si>
    <t>Xã Sơn Hóa</t>
  </si>
  <si>
    <t>Xã Hương Hóa</t>
  </si>
  <si>
    <t>Xã Văn Hoá</t>
  </si>
  <si>
    <t>Xã Lê Hóa</t>
  </si>
  <si>
    <t>Xã Quảng Hợp</t>
  </si>
  <si>
    <t>Xã Quảng Kim</t>
  </si>
  <si>
    <t>Xã Quảng Đông</t>
  </si>
  <si>
    <t>Xã Quảng Phú</t>
  </si>
  <si>
    <t>Xã Quảng Châu</t>
  </si>
  <si>
    <t>Xã Quảng Thạch</t>
  </si>
  <si>
    <t>Xã Quảng Lưu</t>
  </si>
  <si>
    <t>Xã Quảng Tùng</t>
  </si>
  <si>
    <t>Xã Cảnh Dương</t>
  </si>
  <si>
    <t>Xã Quảng Tiến</t>
  </si>
  <si>
    <t>Xã Quảng Hưng</t>
  </si>
  <si>
    <t>Xã Quảng Xuân</t>
  </si>
  <si>
    <t>Xã Liên Trường</t>
  </si>
  <si>
    <t>Xã Quảng Phương</t>
  </si>
  <si>
    <t>Xã Phù Cảnh</t>
  </si>
  <si>
    <t>Xã Quảng Thanh</t>
  </si>
  <si>
    <t>Thị trấn NT Việt Trung</t>
  </si>
  <si>
    <t>Thị trấn Hoàn Lão</t>
  </si>
  <si>
    <t>Thị trấn Phong Nha</t>
  </si>
  <si>
    <t>Xã Xuân Trạch</t>
  </si>
  <si>
    <t>Xã Thượng Trạch</t>
  </si>
  <si>
    <t>Xã Phúc Trạch</t>
  </si>
  <si>
    <t>Xã Hưng Trạch</t>
  </si>
  <si>
    <t>Xã Thanh Trạch</t>
  </si>
  <si>
    <t>Xã Hải Phú</t>
  </si>
  <si>
    <t>Xã Tân Trạch</t>
  </si>
  <si>
    <t>Xã Phú Định</t>
  </si>
  <si>
    <t>Xã Tây Trạch</t>
  </si>
  <si>
    <t>Xã Lâm Trạch</t>
  </si>
  <si>
    <t>Xã Đại Trạch</t>
  </si>
  <si>
    <t>Xã Nhân Trạch</t>
  </si>
  <si>
    <t>Xã Đức Trạch</t>
  </si>
  <si>
    <t>Xã Bắc Trạch</t>
  </si>
  <si>
    <t>Xã Liên Trạch</t>
  </si>
  <si>
    <t>Xã Cự Nẫm</t>
  </si>
  <si>
    <t>Xã Vạn Trạch</t>
  </si>
  <si>
    <t>Xã Đồng Trạch</t>
  </si>
  <si>
    <t>Xã Hạ Mỹ</t>
  </si>
  <si>
    <t>Xã Trung Trạch</t>
  </si>
  <si>
    <t>Xã Sơn Lộc</t>
  </si>
  <si>
    <t>Xã Hòa Trạch</t>
  </si>
  <si>
    <t>Xã Lý Nam</t>
  </si>
  <si>
    <t>Xã Vĩnh Ninh</t>
  </si>
  <si>
    <t>Xã Võ Ninh</t>
  </si>
  <si>
    <t>Xã Gia Ninh</t>
  </si>
  <si>
    <t>Xã An Ninh</t>
  </si>
  <si>
    <t>Xã Vạn Ninh</t>
  </si>
  <si>
    <t>Xã Hiền Ninh</t>
  </si>
  <si>
    <t>Xã Trường Sơn</t>
  </si>
  <si>
    <t>Xã Hải Ninh</t>
  </si>
  <si>
    <t>Xã Tân Ninh</t>
  </si>
  <si>
    <t>Xã Xuân Ninh</t>
  </si>
  <si>
    <t>Xã Duy Ninh</t>
  </si>
  <si>
    <t>Xã Hàm Ninh</t>
  </si>
  <si>
    <t>Xã Trường Xuân</t>
  </si>
  <si>
    <t>Xã Kim Thủy</t>
  </si>
  <si>
    <t>Xã Lâm Thuỷ</t>
  </si>
  <si>
    <t>Xã An Thủy</t>
  </si>
  <si>
    <t>Xã Phú Thủy</t>
  </si>
  <si>
    <t>Xã Hồng Thủy</t>
  </si>
  <si>
    <t>Xã Sơn Thủy</t>
  </si>
  <si>
    <t>Xã Sen Thủy</t>
  </si>
  <si>
    <t>Xã Phong Thủy</t>
  </si>
  <si>
    <t>Xã Xuân Thủy</t>
  </si>
  <si>
    <t>Xã Liên Thủy</t>
  </si>
  <si>
    <t>Xã Tân Thủy</t>
  </si>
  <si>
    <t>Xã Mỹ Thủy</t>
  </si>
  <si>
    <t>Xã Thái Thủy</t>
  </si>
  <si>
    <t>Xã Mai Thủy</t>
  </si>
  <si>
    <t>Xã Trường Thủy</t>
  </si>
  <si>
    <t>Xã Hoa Thủy</t>
  </si>
  <si>
    <t>Xã Hưng Thủy</t>
  </si>
  <si>
    <t>Xã Cam Thủy</t>
  </si>
  <si>
    <t>Xã Thanh Thủy</t>
  </si>
  <si>
    <t>Xã Ngư Thủy Bắc</t>
  </si>
  <si>
    <t>Xã Ngư Thủy</t>
  </si>
  <si>
    <t>Xã Ngân Thủy</t>
  </si>
  <si>
    <t>Xã Dương Thủy</t>
  </si>
  <si>
    <t>Xã Lộc Thủy</t>
  </si>
  <si>
    <t>Thị trấn Kiến Giang</t>
  </si>
  <si>
    <t>Thị trấn NT Lệ Ninh</t>
  </si>
  <si>
    <t>1.7</t>
  </si>
  <si>
    <t>1.8</t>
  </si>
  <si>
    <t>1.9</t>
  </si>
  <si>
    <t>1.10</t>
  </si>
  <si>
    <t>III</t>
  </si>
  <si>
    <t>Huyện Minh Hóa</t>
  </si>
  <si>
    <t>1.11</t>
  </si>
  <si>
    <t>1.12</t>
  </si>
  <si>
    <t>2.1</t>
  </si>
  <si>
    <t>IV</t>
  </si>
  <si>
    <t>Huyện Tuyên Hóa</t>
  </si>
  <si>
    <t>1.13</t>
  </si>
  <si>
    <t>1.14</t>
  </si>
  <si>
    <t>1.15</t>
  </si>
  <si>
    <t>1.16</t>
  </si>
  <si>
    <t>1.17</t>
  </si>
  <si>
    <t>1.18</t>
  </si>
  <si>
    <t>V</t>
  </si>
  <si>
    <t>Huyện Quảng Trạch</t>
  </si>
  <si>
    <t>VI</t>
  </si>
  <si>
    <t>Huyện Bố Trạch</t>
  </si>
  <si>
    <t>1.19</t>
  </si>
  <si>
    <t>1.20</t>
  </si>
  <si>
    <t>1.21</t>
  </si>
  <si>
    <t>1.22</t>
  </si>
  <si>
    <t>1.23</t>
  </si>
  <si>
    <t>2.2</t>
  </si>
  <si>
    <t>2.3</t>
  </si>
  <si>
    <t>VII</t>
  </si>
  <si>
    <t>Huyện Quảng Ninh</t>
  </si>
  <si>
    <t>Thị trấn Quán Hàu</t>
  </si>
  <si>
    <t>VIII</t>
  </si>
  <si>
    <t>Huyện Lệ Thủy</t>
  </si>
  <si>
    <t>1.24</t>
  </si>
  <si>
    <t>Phụ lục 2.1</t>
  </si>
  <si>
    <t>Thuộc diện sắp xếp</t>
  </si>
  <si>
    <t>Phụ lục 2.2</t>
  </si>
  <si>
    <t>Tên ĐVHC
cấp xã mới</t>
  </si>
  <si>
    <t>Phương án</t>
  </si>
  <si>
    <t>Số ĐVHC
cấp xã giảm</t>
  </si>
  <si>
    <t>Phụ lục 2.3</t>
  </si>
  <si>
    <t>Quy mô
dân số</t>
  </si>
  <si>
    <t>Phụ lục 2.4</t>
  </si>
  <si>
    <t>ĐVHC 
cấp xã</t>
  </si>
  <si>
    <t>Số lượng 
ĐVHC
hiện nay</t>
  </si>
  <si>
    <t>Số lượng ĐVHC đạt tiêu chuẩn không thực hiện sắp xếp</t>
  </si>
  <si>
    <t>Số lượng ĐVHC không thực hiện sắp xếp do có yếu tố đặc thù</t>
  </si>
  <si>
    <t>Số lượng 
ĐVHC
thực hiện sắp xếp</t>
  </si>
  <si>
    <t>Số lượng ĐVHC sau sắp xếp không đạt tiêu chuẩn do có yếu tố đặc thù</t>
  </si>
  <si>
    <t>Số lượng 
ĐVHC sau sắp xếp</t>
  </si>
  <si>
    <t>Số lượng 
ĐVHC giảm sau sắp xếp</t>
  </si>
  <si>
    <t>Xã</t>
  </si>
  <si>
    <t>Phường</t>
  </si>
  <si>
    <t>Thị trấn</t>
  </si>
  <si>
    <t>Tổng</t>
  </si>
  <si>
    <t>Nhập xã Lâm Hóa và xã Thanh Hóa</t>
  </si>
  <si>
    <t>Nhập xã Thanh Thạch và xã Hương Hóa</t>
  </si>
  <si>
    <t>Nhập xã Quảng Châu, xã Quảng Tùng và xã Cảnh Dương</t>
  </si>
  <si>
    <t>Xã Trung Thuần</t>
  </si>
  <si>
    <t>Nhập xã Quảng Lưu, xã Quảng Thạch và xã Quảng Tiến</t>
  </si>
  <si>
    <t>Xã Quảng Trạch</t>
  </si>
  <si>
    <t>Xã Quảng Ninh</t>
  </si>
  <si>
    <t>Xã Ninh Châu</t>
  </si>
  <si>
    <t>Xã Trường Ninh</t>
  </si>
  <si>
    <t>Xã Trường Sơn</t>
  </si>
  <si>
    <t>Xã Đồng Lê</t>
  </si>
  <si>
    <t>Phường Đồng Hới</t>
  </si>
  <si>
    <t>Xã Kim Điền</t>
  </si>
  <si>
    <t>Xã Kim Phú</t>
  </si>
  <si>
    <t>Nhập xã Dân Hóa và xã Trọng Hóa</t>
  </si>
  <si>
    <t>Nhập xã Hóa Sơn và xã Hóa Hợp</t>
  </si>
  <si>
    <t>Giữ nguyên</t>
  </si>
  <si>
    <t>Nhập xã Tân Trạch và xã Thượng Trạch</t>
  </si>
  <si>
    <t>Sáp nhập xã Quảng Hải, phường Quảng Phong, phường Quảng Long và phường Ba Đồn</t>
  </si>
  <si>
    <t>Sáp nhập phường Quảng Phúc, phường Quảng Thuận và phường Quảng Thọ</t>
  </si>
  <si>
    <t>Xã Phong Nha</t>
  </si>
  <si>
    <t>Xã Bố Trạch</t>
  </si>
  <si>
    <t>Xã Nam Trạch</t>
  </si>
  <si>
    <r>
      <t>Diện tích (km</t>
    </r>
    <r>
      <rPr>
        <b/>
        <vertAlign val="superscript"/>
        <sz val="12"/>
        <rFont val="Times New Roman"/>
        <family val="2"/>
      </rPr>
      <t>2</t>
    </r>
    <r>
      <rPr>
        <b/>
        <sz val="12"/>
        <rFont val="Times New Roman"/>
        <family val="2"/>
      </rPr>
      <t>)</t>
    </r>
  </si>
  <si>
    <t xml:space="preserve">Sáp nhập xã Bảo Ninh, xã Đức Ninh, phường Nam Lý, phường Đồng Hải, phường Đồng Phú, phường Đức Ninh Đông, phường Phú Hải và phường Hải Thành </t>
  </si>
  <si>
    <t>Phường Đồng Thuận</t>
  </si>
  <si>
    <t>Sáp nhập xã Lộc Ninh, xã Quang Phú và phường Bắc Lý</t>
  </si>
  <si>
    <t>Sáp nhập xã Nghĩa Ninh, xã Thuận Đức, phường Bắc Nghĩa và phường Đồng Sơn</t>
  </si>
  <si>
    <t xml:space="preserve">Thị xã Ba Đồn </t>
  </si>
  <si>
    <t>Xã Nam Gianh</t>
  </si>
  <si>
    <t>Nhập xã Quảng Hòa, xã Quảng Lộc, xã Quảng Văn và xã Quảng Minh</t>
  </si>
  <si>
    <t>Xã Tây Gianh</t>
  </si>
  <si>
    <t>Nhập xã Quảng Tân, xã Quảng Trung, xã Quảng Tiên, xã Quảng Sơn và xã Quảng Thủy</t>
  </si>
  <si>
    <t>Phường Bắc Gianh</t>
  </si>
  <si>
    <t>Xã Tuyên Lâm</t>
  </si>
  <si>
    <t>Xã Tuyên Sơn</t>
  </si>
  <si>
    <t>Nhập xã Kim Hóa, xã Lê Hóa, xã Thuận Hóa, xã Sơn Hóa và thị trấn Đồng Lê</t>
  </si>
  <si>
    <t>Xã Tuyên Phú</t>
  </si>
  <si>
    <t>Nhập xã Đồng Hóa, xã Thạch Hóa và xã Đức Hóa</t>
  </si>
  <si>
    <t>Xã Tuyên Bình</t>
  </si>
  <si>
    <t>Nhập xã Phong Hóa, xã Ngư Hóa và xã Mai Hóa</t>
  </si>
  <si>
    <t>Xã Tuyên Hóa</t>
  </si>
  <si>
    <t>Nhập xã Tiến Hóa, xã Châu Hóa, xã Cao Quảng và xã Văn Hóa</t>
  </si>
  <si>
    <t>Nhập xã Phù Cảnh, xã Liên Trường và xã Quảng Thanh</t>
  </si>
  <si>
    <t>Nhập xã Quảng Phương, xã Quảng Xuân và Quảng Hưng</t>
  </si>
  <si>
    <t>Xã Phú Trạch</t>
  </si>
  <si>
    <t>Nhập xã Quảng Đông, xã Quảng Phú, xã Quảng Kim và xã Quảng Hợp</t>
  </si>
  <si>
    <t xml:space="preserve">Huyện Bố Trạch </t>
  </si>
  <si>
    <t>Nhập xã Lâm Trạch, xã Xuân Trạch, xã Phúc Trạch và thị trấn Phong Nha</t>
  </si>
  <si>
    <t>Nhập xã Bắc Trạch, xã Thanh Trạch, xã Hạ Mỹ và xã Liên Trạch</t>
  </si>
  <si>
    <t>Xã Đông Trạch</t>
  </si>
  <si>
    <t>Nhập xã Hải Phú, xã Sơn Lộc, xã Đức Trạch và xã Đồng Trạch</t>
  </si>
  <si>
    <t>Xã Hoàn Lão</t>
  </si>
  <si>
    <t>Nhập xã Trung Trạch, xã Đại Trạch, xã Tây Trạch, xã Hòa Trạch và thị trấn Hoàn Lão</t>
  </si>
  <si>
    <t>Nhập xã Hưng Trạch, xã Cự Nẫm, xã Vạn Trạch và xã Phú Định</t>
  </si>
  <si>
    <t>Nhập xã Nhân Trạch, xã Lý Nam và thị trấn Nông trường Việt Trung</t>
  </si>
  <si>
    <t>Nhập xã Vĩnh Ninh, xã Võ Ninh, xã Hàm Ninh và thị trấn Quán Hàu</t>
  </si>
  <si>
    <t>Nhập xã Tân Ninh, xã Gia Ninh, xã Duy Ninh và xã Hải Ninh</t>
  </si>
  <si>
    <t>Nhập xã Vạn Ninh, xã An Ninh, xã Xuân Ninh và xã Hiền Ninh</t>
  </si>
  <si>
    <t>Nhập xã Trường Xuân và xã Trường Sơn</t>
  </si>
  <si>
    <t>Lệ Thủy</t>
  </si>
  <si>
    <t>Xã Lệ Thủy</t>
  </si>
  <si>
    <t>Nhập xã Liên Thủy, xã Xuân Thủy, xã An Thủy, xã Phong Thủy, xã Lộc Thủy và thị trấn Kiến Giang</t>
  </si>
  <si>
    <t>Xã Cam Hồng</t>
  </si>
  <si>
    <t>Nhập xã Cam Thủy, xã Thanh Thủy, xã Hồng Thủy và xã Ngư Thủy Bắc</t>
  </si>
  <si>
    <t>Xã Sen Ngư</t>
  </si>
  <si>
    <t>Nhập xã Hưng Thủy, xã Ngư Thủy và xã Sen Thủy</t>
  </si>
  <si>
    <t>Xã Tân Mỹ</t>
  </si>
  <si>
    <t>Nhập xã Tân Thủy, xã Dương Thủy, xã Mỹ Thủy và xã Thái Thủy</t>
  </si>
  <si>
    <t>Xã Trường Phú</t>
  </si>
  <si>
    <t>Nhập xã Trường Thủy, xã Mai Thủy và xã Phú Thủy</t>
  </si>
  <si>
    <t>Xã Lệ Ninh</t>
  </si>
  <si>
    <t>Nhập xã Sơn Thủy, xã Hoa Thủy và thị trấn Nông trường Lệ Ninh</t>
  </si>
  <si>
    <t>Xã Kim Ngân</t>
  </si>
  <si>
    <t>Nhập xã Kim Thủy, xã Ngân Thủy và xã Lâm Thủy</t>
  </si>
  <si>
    <t>Nhập xã Thượng Hóa, xã Trung Hóa, xã Minh Hóa và xã Tân Hóa</t>
  </si>
  <si>
    <t>Nhập xã Xuân Hóa, xã Yên Hóa, xã Hồng Hóa và thị trấn Quy Đạt</t>
  </si>
  <si>
    <t>-</t>
  </si>
  <si>
    <t>ỦY BAN NHÂN DÂN</t>
  </si>
  <si>
    <t>THỐNG KÊ SỐ LƯỢNG CBCC CẤP XÃ DÔI DƯ VÀ PHƯƠNG ÁN  SAU KHI THỰC HIỆN SẮP XẾP ĐVHC CẤP XÃ</t>
  </si>
  <si>
    <t>(Kèm theo Đề án sắp xếp ĐVHC cấp xã)</t>
  </si>
  <si>
    <t>Số TT</t>
  </si>
  <si>
    <t>Tên ĐVHC mới</t>
  </si>
  <si>
    <t>Tên ĐVHC trước sắp xếp</t>
  </si>
  <si>
    <t>Loại</t>
  </si>
  <si>
    <t>Số lượng theo định mức</t>
  </si>
  <si>
    <t>Số lượng hiện có</t>
  </si>
  <si>
    <t>Ghi chú</t>
  </si>
  <si>
    <t>Cán bộ</t>
  </si>
  <si>
    <t>Công chức</t>
  </si>
  <si>
    <t>Viên chức</t>
  </si>
  <si>
    <t>NHĐ không chuyên trách</t>
  </si>
  <si>
    <t xml:space="preserve">Viên chức </t>
  </si>
  <si>
    <t>Nghỉ hưu chế độ</t>
  </si>
  <si>
    <t>Tinh giản biên chế hoặc thôi việc</t>
  </si>
  <si>
    <t>Huyện Lệ Thuỷ</t>
  </si>
  <si>
    <t>Xã Lệ Thuỷ</t>
  </si>
  <si>
    <t>Xã Lâm Thủy</t>
  </si>
  <si>
    <t>Xã Vĩnh Ninh</t>
  </si>
  <si>
    <t>Xã Võ Ninh</t>
  </si>
  <si>
    <t>Xã Hàm Ninh</t>
  </si>
  <si>
    <t>TT Quán Hàu</t>
  </si>
  <si>
    <t>Xã Tân Ninh</t>
  </si>
  <si>
    <t>Xã Gia Ninh</t>
  </si>
  <si>
    <t>Xã Duy Ninh</t>
  </si>
  <si>
    <t>Xã Hải Ninh</t>
  </si>
  <si>
    <t>Xã Vạn Ninh</t>
  </si>
  <si>
    <t>Xã An Ninh</t>
  </si>
  <si>
    <t>Xã Xuân Ninh</t>
  </si>
  <si>
    <t>Xã Hiền Ninh</t>
  </si>
  <si>
    <t>Xã Trường Xuân</t>
  </si>
  <si>
    <t>Phường Bắc Lý</t>
  </si>
  <si>
    <t>TT Phong Nha</t>
  </si>
  <si>
    <t xml:space="preserve">Xã Hạ Mỹ </t>
  </si>
  <si>
    <t xml:space="preserve">Xã Lý Nam </t>
  </si>
  <si>
    <t xml:space="preserve">TT NT Việt Trung </t>
  </si>
  <si>
    <t>Xã Tân Gianh
hoặc xã Quảng Hoá</t>
  </si>
  <si>
    <t>Xã Hoà Trạch</t>
  </si>
  <si>
    <t>1 VP ĐU</t>
  </si>
  <si>
    <t>Các xã</t>
  </si>
  <si>
    <t>Xã Quảng Thuỷ</t>
  </si>
  <si>
    <t>Các phường</t>
  </si>
  <si>
    <t>Huyện Tuyên Hoá</t>
  </si>
  <si>
    <t>Xã Lâm Hoá</t>
  </si>
  <si>
    <t>Xã Kim Hoá</t>
  </si>
  <si>
    <t>Xã Lê Hoá</t>
  </si>
  <si>
    <t>Xã Thuận Hoá</t>
  </si>
  <si>
    <t>Xã Sơn Hoá</t>
  </si>
  <si>
    <t>Xã Đồng Hoá</t>
  </si>
  <si>
    <t>Xã Thạch Hoá</t>
  </si>
  <si>
    <t>Xã Phong Hoá</t>
  </si>
  <si>
    <t>Xã Mai Hóa</t>
  </si>
  <si>
    <t>Xã Tuyên Hoá</t>
  </si>
  <si>
    <t>Xã Tiến Hoá</t>
  </si>
  <si>
    <t>Huyện Minh Hoá</t>
  </si>
  <si>
    <t>Xã Dân Hoá</t>
  </si>
  <si>
    <t>1 VPĐU</t>
  </si>
  <si>
    <t>Xã Minh Hoá</t>
  </si>
  <si>
    <t>Phụ lục 2.5</t>
  </si>
  <si>
    <t>Tỷ lệ (%)</t>
  </si>
  <si>
    <t>Tỷ lệ 
(%) theo quy định tại NQ số 76/2025/UBTVQH15</t>
  </si>
  <si>
    <t>Xã 
miền núi</t>
  </si>
  <si>
    <r>
      <t xml:space="preserve">THỐNG KÊ ĐVHC CẤP XÃ ĐẠT TIÊU CHUẨN VÀ 
KHÔNG THỰC HIỆN SẮP XẾP DO CÓ YẾU TỐ ĐẶC THÙ  
</t>
    </r>
    <r>
      <rPr>
        <b/>
        <i/>
        <sz val="12"/>
        <color theme="1"/>
        <rFont val="Times New Roman"/>
        <family val="1"/>
      </rPr>
      <t>(Kèm theo Đề án sắp xếp ĐVHC cấp xã năm 2025)</t>
    </r>
  </si>
  <si>
    <r>
      <t xml:space="preserve">THỐNG KÊ HIỆN TRẠNG ĐVHC CẤP XÃ HIỆN NAY
</t>
    </r>
    <r>
      <rPr>
        <b/>
        <i/>
        <sz val="12"/>
        <color theme="1"/>
        <rFont val="Times New Roman"/>
        <family val="1"/>
      </rPr>
      <t>(Kèm theo Đề án sắp xếp ĐVHC cấp xã năm 2025)</t>
    </r>
  </si>
  <si>
    <t>Khu vực miền núi, VC</t>
  </si>
  <si>
    <r>
      <t>Diện tích (km</t>
    </r>
    <r>
      <rPr>
        <b/>
        <vertAlign val="superscript"/>
        <sz val="10"/>
        <color theme="1"/>
        <rFont val="Times New Roman"/>
        <family val="1"/>
      </rPr>
      <t>2</t>
    </r>
    <r>
      <rPr>
        <b/>
        <sz val="10"/>
        <color theme="1"/>
        <rFont val="Times New Roman"/>
        <family val="1"/>
      </rPr>
      <t>)</t>
    </r>
  </si>
  <si>
    <t>Vị trí biệt lập, có đông đồng bào DTTS sinh sống, đã sắp xếp giai đoạn 2023-2025 trên cơ sở sáp nhập 03 xã: Hóa Tiến, Hóa Thanh và Hóa Phúc</t>
  </si>
  <si>
    <t>Xã Tân Gianh</t>
  </si>
  <si>
    <r>
      <t xml:space="preserve">X
</t>
    </r>
    <r>
      <rPr>
        <b/>
        <i/>
        <sz val="11"/>
        <rFont val="Times New Roman"/>
        <family val="1"/>
      </rPr>
      <t>(Xã biên giới, biệt lập, có đông người DTTS sinh sống)</t>
    </r>
  </si>
  <si>
    <r>
      <t xml:space="preserve">X
</t>
    </r>
    <r>
      <rPr>
        <b/>
        <i/>
        <sz val="11"/>
        <rFont val="Times New Roman"/>
        <family val="1"/>
      </rPr>
      <t>(vị trí biệt lập)</t>
    </r>
  </si>
  <si>
    <r>
      <t xml:space="preserve">X
</t>
    </r>
    <r>
      <rPr>
        <b/>
        <i/>
        <sz val="12"/>
        <rFont val="Times New Roman"/>
        <family val="1"/>
      </rPr>
      <t>(vị trí biệt lập)</t>
    </r>
  </si>
  <si>
    <r>
      <t xml:space="preserve">THỐNG KÊ PHƯƠNG ÁN SẮP XẾP ĐVHC CẤP XÃ NĂM 2025
</t>
    </r>
    <r>
      <rPr>
        <b/>
        <i/>
        <sz val="12"/>
        <rFont val="Times New Roman"/>
        <family val="2"/>
      </rPr>
      <t>(Kèm theo Đề án sắp xếp ĐVHC cấp xã năm 2025)</t>
    </r>
    <r>
      <rPr>
        <b/>
        <sz val="12"/>
        <rFont val="Times New Roman"/>
        <family val="2"/>
      </rPr>
      <t xml:space="preserve"> </t>
    </r>
  </si>
  <si>
    <r>
      <t xml:space="preserve">BẢNG THỐNG KÊ SỐ LƯỢNG ĐƠN VỊ HÀNH CHÍNH CẤP XÃ CỦA TỈNH QUẢNG BÌNH
</t>
    </r>
    <r>
      <rPr>
        <b/>
        <i/>
        <sz val="12"/>
        <color theme="1"/>
        <rFont val="Times New Roman"/>
        <family val="1"/>
      </rPr>
      <t xml:space="preserve">(Kèm theo Đề án sắp xếp ĐVHC cấp xã năm 2025) </t>
    </r>
  </si>
  <si>
    <t>Số lượng thực hiện sắp xếp, tinh giản theo quy định hiện hành (theo Nghị định 178, Nghị định 67, Nghị định 29… và các chính sách của địa phương)</t>
  </si>
  <si>
    <t>Phụ lục 2.6</t>
  </si>
  <si>
    <r>
      <t xml:space="preserve">PHƯƠNG ÁN SỬ DỤNG TRỤ SỞ CÔNG TẠI CÁC ĐƠN VỊ HÀNH CHÍNH CẤP XÃ SAU SẮP XẾP
</t>
    </r>
    <r>
      <rPr>
        <b/>
        <i/>
        <sz val="12"/>
        <color theme="1"/>
        <rFont val="Times New Roman"/>
        <family val="1"/>
      </rPr>
      <t xml:space="preserve">(Kèm theo Đề án sắp xếp ĐVHC cấp xã năm 2025) </t>
    </r>
  </si>
  <si>
    <t>STT</t>
  </si>
  <si>
    <t>Tên cấp xã</t>
  </si>
  <si>
    <t>Số lượng</t>
  </si>
  <si>
    <t>Phương án sắp xếp, xử lý</t>
  </si>
  <si>
    <t>Lộ trình</t>
  </si>
  <si>
    <t>Tiếp tục sử dụng</t>
  </si>
  <si>
    <t>Không tiếp tục sử dụng</t>
  </si>
  <si>
    <t>Phương án khác</t>
  </si>
  <si>
    <t xml:space="preserve">TỔNG </t>
  </si>
  <si>
    <t>Sắp xếp, xử lý</t>
  </si>
  <si>
    <r>
      <rPr>
        <b/>
        <i/>
        <u/>
        <sz val="12"/>
        <color theme="1"/>
        <rFont val="Times New Roman"/>
        <family val="1"/>
      </rPr>
      <t>Ghi chú</t>
    </r>
    <r>
      <rPr>
        <b/>
        <i/>
        <sz val="12"/>
        <color theme="1"/>
        <rFont val="Times New Roman"/>
        <family val="1"/>
      </rPr>
      <t>:</t>
    </r>
    <r>
      <rPr>
        <i/>
        <sz val="12"/>
        <color theme="1"/>
        <rFont val="Times New Roman"/>
        <family val="1"/>
      </rPr>
      <t xml:space="preserve"> 
- Số liệu diện tích tự nhiên và quy mô dân số tính đến thời điểm 31/12/2024;
- Tỷ lệ % diện tích tự nhiên và quy mô dân số của xã, thị trấn được tính theo tiêu chuẩn của xã tương ứng quy định tại Nghị quyết của UBTVQH về tiêu chuẩn đơn vị hành chính và phân loại đơn vị hành chính; đối với phường thì tính theo tiêu chuẩn của phường tương ứng quy định tại Nghị quyết của UBTVQH về tiêu chuẩn đơn vị hành chính và phân loại đơn vị hành chính.
</t>
    </r>
  </si>
  <si>
    <r>
      <rPr>
        <b/>
        <i/>
        <u/>
        <sz val="12"/>
        <color theme="1"/>
        <rFont val="Times New Roman"/>
        <family val="1"/>
      </rPr>
      <t>Ghi chú</t>
    </r>
    <r>
      <rPr>
        <b/>
        <i/>
        <sz val="12"/>
        <color theme="1"/>
        <rFont val="Times New Roman"/>
        <family val="1"/>
      </rPr>
      <t>:</t>
    </r>
    <r>
      <rPr>
        <i/>
        <sz val="12"/>
        <color theme="1"/>
        <rFont val="Times New Roman"/>
        <family val="1"/>
      </rPr>
      <t xml:space="preserve"> 
- Số liệu diện tích tự nhiên và quy mô dân số tính đến thời điểm 31/12/2024;
- Tỷ lệ % diện tích tự nhiên và quy mô dân số của xã, phường được tính theo tiêu chuẩn của xã, phường tương ứng quy định tại Nghị quyết của UBTVQH về tiêu chuẩn đơn vị hành chính và phân loại đơn vị hành chính.
</t>
    </r>
  </si>
  <si>
    <r>
      <rPr>
        <b/>
        <i/>
        <u/>
        <sz val="12"/>
        <rFont val="Times New Roman"/>
        <family val="1"/>
      </rPr>
      <t>Ghi chú</t>
    </r>
    <r>
      <rPr>
        <b/>
        <i/>
        <sz val="12"/>
        <rFont val="Times New Roman"/>
        <family val="2"/>
      </rPr>
      <t>:</t>
    </r>
    <r>
      <rPr>
        <i/>
        <sz val="12"/>
        <rFont val="Times New Roman"/>
        <family val="2"/>
      </rPr>
      <t xml:space="preserve"> 
Tỷ lệ % diện tích tự nhiên và quy mô dân số của xã, phường hình thành sau sắp xếp được tính theo quy định tại Nghị quyết số 76/2025/UBTVQH15. </t>
    </r>
  </si>
  <si>
    <t>CẤP HUYỆN</t>
  </si>
  <si>
    <t>CẤP XÃ</t>
  </si>
  <si>
    <t>A</t>
  </si>
  <si>
    <t>B</t>
  </si>
  <si>
    <t>Số lượng cán bộ, công chức, viên chức cấp huyện bố trí về cấp xã</t>
  </si>
  <si>
    <t>TỔNG CẤP HUYỆN, CẤP XÃ</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</si>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</sst>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6">
    <font>
      <sz val="12"/>
      <color theme="1"/>
      <name val="Times New Roman"/>
      <family val="2"/>
    </font>
    <font>
      <b/>
      <sz val="12"/>
      <color theme="1"/>
      <name val="Times New Roman"/>
      <family val="1"/>
    </font>
    <font>
      <i/>
      <sz val="12"/>
      <color theme="1"/>
      <name val="Times New Roman"/>
      <family val="1"/>
    </font>
    <font>
      <sz val="12"/>
      <color theme="1"/>
      <name val="Times New Roman"/>
      <family val="1"/>
    </font>
    <font>
      <sz val="12"/>
      <name val="Times New Roman"/>
      <family val="1"/>
    </font>
    <font>
      <b/>
      <sz val="12"/>
      <name val="Times New Roman"/>
      <family val="1"/>
    </font>
    <font>
      <sz val="12"/>
      <color theme="1"/>
      <name val="Times New Roman"/>
      <family val="2"/>
    </font>
    <font>
      <i/>
      <sz val="11"/>
      <color theme="1"/>
      <name val="Times New Roman"/>
      <family val="1"/>
    </font>
    <font>
      <b/>
      <i/>
      <sz val="12"/>
      <color theme="1"/>
      <name val="Times New Roman"/>
      <family val="1"/>
    </font>
    <font>
      <b/>
      <sz val="12"/>
      <color theme="1"/>
      <name val="Times New Roman"/>
      <family val="2"/>
    </font>
    <font>
      <i/>
      <sz val="12"/>
      <color theme="1"/>
      <name val="Times New Roman"/>
      <family val="2"/>
    </font>
    <font>
      <sz val="12"/>
      <color rgb="FFFF0000"/>
      <name val="Times New Roman"/>
      <family val="1"/>
    </font>
    <font>
      <sz val="12"/>
      <name val="Times New Roman"/>
      <family val="2"/>
    </font>
    <font>
      <b/>
      <sz val="12"/>
      <name val="Times New Roman"/>
      <family val="2"/>
    </font>
    <font>
      <b/>
      <i/>
      <sz val="12"/>
      <name val="Times New Roman"/>
      <family val="2"/>
    </font>
    <font>
      <b/>
      <vertAlign val="superscript"/>
      <sz val="12"/>
      <name val="Times New Roman"/>
      <family val="2"/>
    </font>
    <font>
      <i/>
      <sz val="12"/>
      <name val="Times New Roman"/>
      <family val="2"/>
    </font>
    <font>
      <sz val="12"/>
      <color rgb="FFFF0000"/>
      <name val="Times New Roman"/>
      <family val="2"/>
    </font>
    <font>
      <b/>
      <sz val="9"/>
      <name val="Times New Roman"/>
      <family val="2"/>
    </font>
    <font>
      <sz val="9"/>
      <name val="Times New Roman"/>
      <family val="2"/>
    </font>
    <font>
      <sz val="9"/>
      <color theme="1"/>
      <name val="Times New Roman"/>
      <family val="2"/>
    </font>
    <font>
      <sz val="9"/>
      <name val="Times New Roman"/>
      <family val="1"/>
    </font>
    <font>
      <sz val="11"/>
      <color theme="1"/>
      <name val="Times New Roman"/>
      <family val="1"/>
    </font>
    <font>
      <b/>
      <sz val="14"/>
      <color theme="1"/>
      <name val="Times New Roman"/>
      <family val="1"/>
    </font>
    <font>
      <i/>
      <sz val="14"/>
      <color theme="1"/>
      <name val="Times New Roman"/>
      <family val="1"/>
    </font>
    <font>
      <b/>
      <sz val="11"/>
      <color theme="1"/>
      <name val="Times New Roman"/>
      <family val="1"/>
    </font>
    <font>
      <sz val="13"/>
      <name val="Times New Roman"/>
      <family val="1"/>
    </font>
    <font>
      <sz val="12"/>
      <name val=".VnTime"/>
      <family val="2"/>
    </font>
    <font>
      <sz val="12"/>
      <color indexed="8"/>
      <name val="Times New Roman"/>
      <family val="1"/>
    </font>
    <font>
      <sz val="13"/>
      <color indexed="8"/>
      <name val="Times New Roman"/>
      <family val="1"/>
    </font>
    <font>
      <sz val="11"/>
      <color theme="1"/>
      <name val="Calibri"/>
      <family val="2"/>
      <scheme val="minor"/>
    </font>
    <font>
      <sz val="13"/>
      <color theme="1"/>
      <name val="Times New Roman"/>
      <family val="1"/>
    </font>
    <font>
      <b/>
      <i/>
      <sz val="14"/>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b/>
      <sz val="11"/>
      <name val="Times New Roman"/>
      <family val="1"/>
    </font>
    <font>
      <b/>
      <i/>
      <sz val="11"/>
      <name val="Times New Roman"/>
      <family val="1"/>
    </font>
    <font>
      <b/>
      <i/>
      <sz val="12"/>
      <name val="Times New Roman"/>
      <family val="1"/>
    </font>
    <font>
      <sz val="12"/>
      <color rgb="FF000000"/>
      <name val="Times New Roman"/>
      <family val="2"/>
    </font>
    <font>
      <sz val="14"/>
      <name val="Times New Roman"/>
      <family val="1"/>
    </font>
    <font>
      <sz val="14"/>
      <color theme="1"/>
      <name val="Times New Roman"/>
      <family val="1"/>
    </font>
    <font>
      <b/>
      <i/>
      <u/>
      <sz val="12"/>
      <color theme="1"/>
      <name val="Times New Roman"/>
      <family val="1"/>
    </font>
    <font>
      <b/>
      <i/>
      <u/>
      <sz val="12"/>
      <name val="Times New Roman"/>
      <family val="1"/>
    </font>
    <font>
      <i/>
      <sz val="12"/>
      <name val="Times New Roman"/>
      <family val="1"/>
    </font>
    <font>
      <sz val="12"/>
      <color rgb="FF0000FF"/>
      <name val="Times New Roman"/>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43" fontId="6" fillId="0" borderId="0" applyFont="0" applyFill="0" applyBorder="0" applyAlignment="0" applyProtection="0"/>
    <xf numFmtId="0" fontId="27" fillId="0" borderId="0"/>
    <xf numFmtId="0" fontId="30" fillId="0" borderId="0"/>
  </cellStyleXfs>
  <cellXfs count="222">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2" fillId="0" borderId="1" xfId="0" applyFont="1" applyBorder="1" applyAlignment="1">
      <alignment horizontal="center" vertical="center"/>
    </xf>
    <xf numFmtId="0" fontId="0" fillId="0" borderId="1" xfId="0" applyBorder="1" applyAlignment="1">
      <alignment vertical="center"/>
    </xf>
    <xf numFmtId="2" fontId="0" fillId="0" borderId="1" xfId="0" applyNumberFormat="1" applyBorder="1" applyAlignment="1">
      <alignment vertical="center"/>
    </xf>
    <xf numFmtId="3"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3" fontId="1" fillId="2" borderId="1"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4" fontId="3" fillId="0" borderId="1" xfId="0" applyNumberFormat="1" applyFont="1" applyBorder="1" applyAlignment="1">
      <alignment horizontal="right" vertical="center"/>
    </xf>
    <xf numFmtId="0" fontId="1" fillId="0" borderId="1" xfId="0" applyFont="1" applyBorder="1" applyAlignment="1">
      <alignment horizontal="left" vertical="center"/>
    </xf>
    <xf numFmtId="0" fontId="0" fillId="0" borderId="0" xfId="0" applyAlignment="1">
      <alignment horizontal="center"/>
    </xf>
    <xf numFmtId="3" fontId="4" fillId="0" borderId="1" xfId="0" applyNumberFormat="1" applyFont="1" applyBorder="1" applyAlignment="1">
      <alignment vertical="center"/>
    </xf>
    <xf numFmtId="4" fontId="1" fillId="0" borderId="1" xfId="0" applyNumberFormat="1" applyFont="1" applyBorder="1" applyAlignment="1">
      <alignment vertical="center"/>
    </xf>
    <xf numFmtId="0" fontId="7" fillId="0" borderId="1" xfId="0" applyFont="1" applyBorder="1" applyAlignment="1">
      <alignment vertical="center"/>
    </xf>
    <xf numFmtId="4" fontId="0" fillId="0" borderId="1" xfId="0" applyNumberFormat="1" applyBorder="1" applyAlignment="1">
      <alignment vertical="center"/>
    </xf>
    <xf numFmtId="0" fontId="10" fillId="0" borderId="1" xfId="0" applyFont="1" applyBorder="1" applyAlignment="1">
      <alignment horizontal="center" vertical="center"/>
    </xf>
    <xf numFmtId="0" fontId="0" fillId="0" borderId="1" xfId="0" applyBorder="1"/>
    <xf numFmtId="0" fontId="1" fillId="0" borderId="1" xfId="0" applyFont="1" applyBorder="1" applyAlignment="1">
      <alignment horizontal="center" vertical="center" wrapText="1"/>
    </xf>
    <xf numFmtId="3" fontId="3" fillId="2" borderId="1" xfId="0" applyNumberFormat="1" applyFont="1" applyFill="1" applyBorder="1" applyAlignment="1">
      <alignment horizontal="center"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4" fontId="3"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0" fontId="0" fillId="0" borderId="0" xfId="0" applyAlignment="1">
      <alignment vertical="center"/>
    </xf>
    <xf numFmtId="0" fontId="3" fillId="0" borderId="1" xfId="0" applyFont="1" applyBorder="1" applyAlignment="1">
      <alignment horizontal="center" vertical="center" wrapText="1"/>
    </xf>
    <xf numFmtId="0" fontId="11" fillId="0" borderId="0" xfId="0" applyFont="1"/>
    <xf numFmtId="0" fontId="3" fillId="0" borderId="0" xfId="0" applyFont="1"/>
    <xf numFmtId="0" fontId="12" fillId="0" borderId="0" xfId="0" applyFont="1" applyAlignment="1">
      <alignment horizontal="center"/>
    </xf>
    <xf numFmtId="0" fontId="12" fillId="0" borderId="0" xfId="0" applyFont="1"/>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xf>
    <xf numFmtId="4" fontId="13"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4" fontId="13" fillId="0" borderId="1" xfId="0" applyNumberFormat="1" applyFont="1" applyBorder="1" applyAlignment="1">
      <alignment horizontal="center" vertical="center"/>
    </xf>
    <xf numFmtId="3" fontId="13" fillId="2"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2" fontId="13" fillId="0" borderId="1" xfId="0" applyNumberFormat="1" applyFont="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Border="1" applyAlignment="1">
      <alignment vertical="center"/>
    </xf>
    <xf numFmtId="0" fontId="13" fillId="0" borderId="1" xfId="0" applyFont="1" applyBorder="1" applyAlignment="1">
      <alignment horizontal="left" vertical="center"/>
    </xf>
    <xf numFmtId="2" fontId="12" fillId="0" borderId="1" xfId="0" applyNumberFormat="1" applyFont="1" applyBorder="1" applyAlignment="1">
      <alignment horizontal="right" vertical="center"/>
    </xf>
    <xf numFmtId="0" fontId="12" fillId="0" borderId="1" xfId="0" applyFont="1" applyBorder="1" applyAlignment="1">
      <alignment horizontal="left" vertical="center"/>
    </xf>
    <xf numFmtId="2" fontId="12" fillId="0" borderId="1" xfId="0" applyNumberFormat="1" applyFont="1" applyBorder="1" applyAlignment="1">
      <alignment vertical="center"/>
    </xf>
    <xf numFmtId="4" fontId="13" fillId="0" borderId="1" xfId="0" applyNumberFormat="1" applyFont="1" applyBorder="1" applyAlignment="1">
      <alignment horizontal="right" vertical="center"/>
    </xf>
    <xf numFmtId="3" fontId="13" fillId="0" borderId="1" xfId="0" applyNumberFormat="1" applyFont="1" applyBorder="1" applyAlignment="1">
      <alignment horizontal="right" vertical="center"/>
    </xf>
    <xf numFmtId="2" fontId="12" fillId="0" borderId="1" xfId="0" applyNumberFormat="1" applyFont="1" applyBorder="1" applyAlignment="1">
      <alignment horizontal="right" vertical="center" wrapText="1"/>
    </xf>
    <xf numFmtId="4" fontId="13" fillId="0" borderId="1" xfId="0" applyNumberFormat="1" applyFont="1" applyBorder="1" applyAlignment="1">
      <alignment vertical="center"/>
    </xf>
    <xf numFmtId="3" fontId="13" fillId="0" borderId="1" xfId="0" applyNumberFormat="1" applyFont="1" applyBorder="1" applyAlignment="1">
      <alignment vertical="center"/>
    </xf>
    <xf numFmtId="0" fontId="12" fillId="0" borderId="1" xfId="0" applyFont="1" applyBorder="1" applyAlignment="1">
      <alignment vertical="center" wrapText="1"/>
    </xf>
    <xf numFmtId="4" fontId="12" fillId="0" borderId="1" xfId="0" applyNumberFormat="1" applyFont="1" applyBorder="1" applyAlignment="1">
      <alignment vertical="center"/>
    </xf>
    <xf numFmtId="3" fontId="12" fillId="0" borderId="1" xfId="0" applyNumberFormat="1" applyFont="1" applyBorder="1" applyAlignment="1">
      <alignment vertical="center"/>
    </xf>
    <xf numFmtId="0" fontId="12" fillId="2" borderId="1" xfId="0" applyFont="1" applyFill="1" applyBorder="1" applyAlignment="1">
      <alignment vertical="center" wrapText="1"/>
    </xf>
    <xf numFmtId="4" fontId="12" fillId="2" borderId="1" xfId="0" applyNumberFormat="1" applyFont="1" applyFill="1" applyBorder="1" applyAlignment="1">
      <alignment horizontal="right" vertical="center" wrapText="1"/>
    </xf>
    <xf numFmtId="3" fontId="12" fillId="2" borderId="1" xfId="0" applyNumberFormat="1" applyFont="1" applyFill="1" applyBorder="1" applyAlignment="1">
      <alignment horizontal="right" vertical="center" wrapText="1"/>
    </xf>
    <xf numFmtId="43" fontId="13" fillId="0" borderId="1" xfId="0" applyNumberFormat="1" applyFont="1" applyBorder="1" applyAlignment="1">
      <alignment vertical="center"/>
    </xf>
    <xf numFmtId="164" fontId="13" fillId="0" borderId="1" xfId="0" applyNumberFormat="1" applyFont="1" applyBorder="1" applyAlignment="1">
      <alignment vertical="center"/>
    </xf>
    <xf numFmtId="1" fontId="12" fillId="0" borderId="1" xfId="0" applyNumberFormat="1" applyFont="1" applyBorder="1" applyAlignment="1">
      <alignment horizontal="left" vertical="center" wrapText="1"/>
    </xf>
    <xf numFmtId="1" fontId="12" fillId="0" borderId="1" xfId="0" applyNumberFormat="1" applyFont="1" applyBorder="1" applyAlignment="1">
      <alignment horizontal="center" vertical="center" wrapText="1"/>
    </xf>
    <xf numFmtId="43" fontId="12" fillId="0" borderId="1" xfId="1" applyFont="1" applyBorder="1" applyAlignment="1">
      <alignment horizontal="right" vertical="center" wrapText="1"/>
    </xf>
    <xf numFmtId="164" fontId="12" fillId="0" borderId="1" xfId="1" applyNumberFormat="1" applyFont="1" applyBorder="1" applyAlignment="1">
      <alignment horizontal="right" vertical="center" wrapText="1"/>
    </xf>
    <xf numFmtId="0" fontId="17" fillId="0" borderId="0" xfId="0" applyFont="1"/>
    <xf numFmtId="0" fontId="4" fillId="0" borderId="1" xfId="0" applyFont="1" applyBorder="1" applyAlignment="1">
      <alignment vertical="center"/>
    </xf>
    <xf numFmtId="4" fontId="4" fillId="0" borderId="1" xfId="0" applyNumberFormat="1" applyFont="1" applyBorder="1" applyAlignment="1">
      <alignment vertical="center"/>
    </xf>
    <xf numFmtId="2" fontId="4" fillId="0" borderId="1" xfId="0" applyNumberFormat="1" applyFont="1" applyBorder="1" applyAlignment="1">
      <alignment vertical="center"/>
    </xf>
    <xf numFmtId="3" fontId="18" fillId="0" borderId="1" xfId="0" applyNumberFormat="1" applyFont="1" applyBorder="1" applyAlignment="1">
      <alignment horizontal="center" vertical="center"/>
    </xf>
    <xf numFmtId="0" fontId="19" fillId="0" borderId="1" xfId="0" applyFont="1" applyBorder="1" applyAlignment="1">
      <alignment vertical="center"/>
    </xf>
    <xf numFmtId="0" fontId="18" fillId="0" borderId="1"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center" vertical="center" wrapText="1"/>
    </xf>
    <xf numFmtId="0" fontId="18" fillId="0" borderId="1" xfId="0" applyFont="1" applyBorder="1" applyAlignment="1">
      <alignment vertical="center"/>
    </xf>
    <xf numFmtId="0" fontId="20" fillId="0" borderId="0" xfId="0" applyFont="1"/>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3" fillId="2" borderId="1" xfId="0" applyFont="1" applyFill="1" applyBorder="1" applyAlignment="1">
      <alignment horizontal="right" vertical="center"/>
    </xf>
    <xf numFmtId="0" fontId="22" fillId="2" borderId="0" xfId="0" applyFont="1" applyFill="1" applyAlignment="1">
      <alignment horizontal="center" vertical="center"/>
    </xf>
    <xf numFmtId="0" fontId="22" fillId="2" borderId="0" xfId="0" applyFont="1" applyFill="1" applyAlignment="1">
      <alignment vertical="center"/>
    </xf>
    <xf numFmtId="0" fontId="22" fillId="2" borderId="0" xfId="0" applyFont="1" applyFill="1" applyAlignment="1">
      <alignment horizontal="left" vertical="center"/>
    </xf>
    <xf numFmtId="0" fontId="23" fillId="2" borderId="0" xfId="0" applyFont="1" applyFill="1"/>
    <xf numFmtId="0" fontId="22" fillId="2" borderId="0" xfId="0" applyFont="1" applyFill="1" applyAlignment="1">
      <alignment horizontal="center"/>
    </xf>
    <xf numFmtId="0" fontId="22" fillId="2" borderId="0" xfId="0" applyFont="1" applyFill="1"/>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22" fillId="2" borderId="1" xfId="0" applyFont="1" applyFill="1" applyBorder="1"/>
    <xf numFmtId="3" fontId="3"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left"/>
    </xf>
    <xf numFmtId="3" fontId="1" fillId="2" borderId="1" xfId="0" applyNumberFormat="1" applyFont="1" applyFill="1" applyBorder="1" applyAlignment="1">
      <alignment horizontal="center"/>
    </xf>
    <xf numFmtId="0" fontId="25" fillId="2" borderId="1" xfId="0" applyFont="1" applyFill="1" applyBorder="1"/>
    <xf numFmtId="0" fontId="25" fillId="2" borderId="0" xfId="0" applyFont="1" applyFill="1"/>
    <xf numFmtId="0" fontId="3" fillId="2" borderId="1" xfId="0" applyFont="1" applyFill="1" applyBorder="1" applyAlignment="1">
      <alignment horizontal="left"/>
    </xf>
    <xf numFmtId="3" fontId="3" fillId="2" borderId="1" xfId="0" applyNumberFormat="1" applyFont="1" applyFill="1" applyBorder="1" applyAlignment="1">
      <alignment horizontal="center"/>
    </xf>
    <xf numFmtId="0" fontId="26" fillId="2" borderId="1" xfId="0" applyFont="1" applyFill="1" applyBorder="1" applyAlignment="1">
      <alignment horizontal="center" vertical="center" wrapText="1"/>
    </xf>
    <xf numFmtId="0" fontId="29" fillId="2" borderId="1" xfId="2" applyFont="1" applyFill="1" applyBorder="1" applyAlignment="1">
      <alignment horizontal="center" wrapText="1"/>
    </xf>
    <xf numFmtId="0" fontId="4" fillId="2" borderId="1" xfId="2" applyFont="1" applyFill="1" applyBorder="1" applyAlignment="1">
      <alignment horizontal="left" vertical="center" wrapText="1"/>
    </xf>
    <xf numFmtId="0" fontId="26" fillId="2" borderId="1" xfId="2" applyFont="1" applyFill="1" applyBorder="1" applyAlignment="1">
      <alignment horizontal="center" vertical="center" wrapText="1"/>
    </xf>
    <xf numFmtId="0" fontId="28" fillId="2" borderId="1" xfId="2" applyFont="1" applyFill="1" applyBorder="1" applyAlignment="1">
      <alignment horizontal="left" vertical="center" wrapText="1"/>
    </xf>
    <xf numFmtId="0" fontId="29" fillId="2" borderId="1" xfId="2" applyFont="1" applyFill="1" applyBorder="1" applyAlignment="1">
      <alignment horizontal="center" vertical="center" wrapText="1"/>
    </xf>
    <xf numFmtId="0" fontId="4" fillId="2" borderId="1" xfId="0" applyFont="1" applyFill="1" applyBorder="1" applyAlignment="1">
      <alignment horizontal="left" vertical="center"/>
    </xf>
    <xf numFmtId="0" fontId="26"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3" applyFont="1" applyFill="1" applyBorder="1" applyAlignment="1">
      <alignment horizontal="left" vertical="center" wrapText="1"/>
    </xf>
    <xf numFmtId="0" fontId="31" fillId="2" borderId="1" xfId="3" applyFont="1" applyFill="1" applyBorder="1" applyAlignment="1">
      <alignment horizontal="center" vertical="center" wrapText="1"/>
    </xf>
    <xf numFmtId="0" fontId="28"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2" fillId="2" borderId="0" xfId="0" applyFont="1" applyFill="1" applyAlignment="1">
      <alignment horizontal="left"/>
    </xf>
    <xf numFmtId="4" fontId="13" fillId="0" borderId="1" xfId="0" applyNumberFormat="1" applyFont="1" applyBorder="1" applyAlignment="1">
      <alignment horizontal="center" vertical="center" wrapText="1"/>
    </xf>
    <xf numFmtId="2" fontId="12" fillId="0" borderId="1" xfId="0" applyNumberFormat="1" applyFont="1" applyBorder="1"/>
    <xf numFmtId="2" fontId="13" fillId="0" borderId="1" xfId="0" applyNumberFormat="1" applyFont="1" applyBorder="1" applyAlignment="1">
      <alignment vertical="center"/>
    </xf>
    <xf numFmtId="4" fontId="12" fillId="0" borderId="0" xfId="0" applyNumberFormat="1" applyFont="1" applyAlignment="1">
      <alignment horizontal="right" vertical="center"/>
    </xf>
    <xf numFmtId="2" fontId="12" fillId="0" borderId="0" xfId="0" applyNumberFormat="1" applyFont="1" applyAlignment="1">
      <alignment vertical="center"/>
    </xf>
    <xf numFmtId="43" fontId="12" fillId="0" borderId="1" xfId="0" applyNumberFormat="1" applyFont="1" applyBorder="1" applyAlignment="1">
      <alignment horizontal="right" vertical="center"/>
    </xf>
    <xf numFmtId="43" fontId="12" fillId="0" borderId="1" xfId="0" applyNumberFormat="1" applyFont="1" applyBorder="1" applyAlignment="1">
      <alignment vertical="center"/>
    </xf>
    <xf numFmtId="3" fontId="12" fillId="0" borderId="1" xfId="0" applyNumberFormat="1" applyFont="1" applyBorder="1" applyAlignment="1">
      <alignment horizontal="right" vertical="center"/>
    </xf>
    <xf numFmtId="3" fontId="12" fillId="0" borderId="1" xfId="0" applyNumberFormat="1" applyFont="1" applyBorder="1"/>
    <xf numFmtId="4" fontId="1" fillId="2" borderId="1" xfId="0" applyNumberFormat="1" applyFont="1" applyFill="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left" vertical="center"/>
    </xf>
    <xf numFmtId="0" fontId="3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12" fillId="0" borderId="1" xfId="0" applyFont="1" applyBorder="1"/>
    <xf numFmtId="0" fontId="1" fillId="2" borderId="1" xfId="0" applyFont="1" applyFill="1" applyBorder="1" applyAlignment="1">
      <alignment vertical="center" wrapText="1"/>
    </xf>
    <xf numFmtId="2" fontId="1"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39" fillId="0" borderId="1" xfId="0" applyFont="1" applyBorder="1" applyAlignment="1">
      <alignment horizontal="center" vertical="center" wrapText="1"/>
    </xf>
    <xf numFmtId="43" fontId="0" fillId="0" borderId="1" xfId="1" applyFont="1" applyBorder="1" applyAlignment="1">
      <alignment horizontal="center" vertical="center" wrapText="1"/>
    </xf>
    <xf numFmtId="3" fontId="4" fillId="0" borderId="1" xfId="0" applyNumberFormat="1" applyFont="1" applyBorder="1" applyAlignment="1">
      <alignment horizontal="left" vertical="center"/>
    </xf>
    <xf numFmtId="0" fontId="41" fillId="0" borderId="1" xfId="0" applyFont="1" applyBorder="1"/>
    <xf numFmtId="0" fontId="40" fillId="0" borderId="1" xfId="0" applyFont="1" applyBorder="1" applyAlignment="1">
      <alignment horizontal="center" vertical="center"/>
    </xf>
    <xf numFmtId="0" fontId="41" fillId="0" borderId="1" xfId="0" applyFont="1" applyBorder="1" applyAlignment="1">
      <alignment horizontal="center" vertical="center"/>
    </xf>
    <xf numFmtId="0" fontId="1" fillId="0" borderId="1" xfId="0" applyFont="1" applyBorder="1"/>
    <xf numFmtId="0" fontId="25" fillId="2" borderId="0" xfId="0" applyFont="1" applyFill="1" applyAlignment="1">
      <alignment vertical="center"/>
    </xf>
    <xf numFmtId="3" fontId="1" fillId="2" borderId="1" xfId="0" applyNumberFormat="1" applyFont="1" applyFill="1" applyBorder="1" applyAlignment="1">
      <alignment horizontal="left" vertical="center"/>
    </xf>
    <xf numFmtId="0" fontId="3" fillId="2" borderId="0" xfId="0" applyFont="1" applyFill="1"/>
    <xf numFmtId="0" fontId="3" fillId="2" borderId="1" xfId="0" applyFont="1" applyFill="1" applyBorder="1"/>
    <xf numFmtId="0" fontId="25" fillId="2" borderId="1" xfId="0" applyFont="1" applyFill="1" applyBorder="1" applyAlignment="1">
      <alignment vertical="center"/>
    </xf>
    <xf numFmtId="3" fontId="3" fillId="2" borderId="1" xfId="0" applyNumberFormat="1" applyFont="1" applyFill="1" applyBorder="1" applyAlignment="1">
      <alignment horizontal="left" vertical="center"/>
    </xf>
    <xf numFmtId="0" fontId="22" fillId="2" borderId="1" xfId="0" applyFont="1" applyFill="1" applyBorder="1" applyAlignment="1">
      <alignment vertical="center"/>
    </xf>
    <xf numFmtId="0" fontId="1" fillId="2" borderId="1" xfId="0" applyFont="1" applyFill="1" applyBorder="1"/>
    <xf numFmtId="4" fontId="45" fillId="0" borderId="1" xfId="0" applyNumberFormat="1" applyFont="1" applyBorder="1" applyAlignment="1">
      <alignment horizontal="righ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center" vertical="center"/>
    </xf>
    <xf numFmtId="0" fontId="13" fillId="0" borderId="0" xfId="0" applyFont="1" applyAlignment="1">
      <alignment horizontal="left" vertical="center"/>
    </xf>
    <xf numFmtId="0" fontId="0" fillId="0" borderId="0" xfId="0" applyAlignment="1">
      <alignment horizontal="center"/>
    </xf>
    <xf numFmtId="0" fontId="1"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44" fillId="0" borderId="6" xfId="0" applyFont="1" applyBorder="1" applyAlignment="1">
      <alignment horizontal="left" vertical="center" wrapText="1"/>
    </xf>
    <xf numFmtId="0" fontId="16" fillId="0" borderId="6" xfId="0" applyFont="1" applyBorder="1" applyAlignment="1">
      <alignment horizontal="left" vertical="center"/>
    </xf>
    <xf numFmtId="0" fontId="1" fillId="0" borderId="0" xfId="0" applyFont="1" applyAlignment="1">
      <alignment horizontal="right"/>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3" fillId="2" borderId="1" xfId="0" applyFont="1" applyFill="1" applyBorder="1" applyAlignment="1">
      <alignment horizontal="center" vertical="center"/>
    </xf>
    <xf numFmtId="0" fontId="23" fillId="2" borderId="0" xfId="0" applyFont="1" applyFill="1" applyAlignment="1">
      <alignment horizontal="center" vertical="center"/>
    </xf>
    <xf numFmtId="0" fontId="32" fillId="2" borderId="0" xfId="0" applyFont="1" applyFill="1" applyAlignment="1">
      <alignment horizontal="center" vertical="center"/>
    </xf>
    <xf numFmtId="0" fontId="24" fillId="2" borderId="0" xfId="0" applyFont="1" applyFill="1" applyAlignment="1">
      <alignment horizontal="center" vertical="center"/>
    </xf>
    <xf numFmtId="0" fontId="25" fillId="2" borderId="1"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0" xfId="0" applyFont="1" applyFill="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quotePrefix="1" applyFont="1" applyFill="1" applyBorder="1" applyAlignment="1">
      <alignment horizontal="center" vertical="center"/>
    </xf>
    <xf numFmtId="0" fontId="1" fillId="2" borderId="12"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cellXfs>
  <cellStyles count="4">
    <cellStyle name="Comma" xfId="1" builtinId="3"/>
    <cellStyle name="Normal" xfId="0" builtinId="0"/>
    <cellStyle name="Normal 2" xfId="2"/>
    <cellStyle name="Normal 2 2"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415738</xdr:colOff>
      <xdr:row>2</xdr:row>
      <xdr:rowOff>12888</xdr:rowOff>
    </xdr:from>
    <xdr:to>
      <xdr:col>3</xdr:col>
      <xdr:colOff>1205193</xdr:colOff>
      <xdr:row>2</xdr:row>
      <xdr:rowOff>12888</xdr:rowOff>
    </xdr:to>
    <xdr:cxnSp macro="">
      <xdr:nvCxnSpPr>
        <xdr:cNvPr id="2" name="Straight Connector 1">
          <a:extLst>
            <a:ext uri="{FF2B5EF4-FFF2-40B4-BE49-F238E27FC236}">
              <a16:creationId xmlns:a16="http://schemas.microsoft.com/office/drawing/2014/main" id="{D6CFF7C1-3B9B-51A1-0106-84D845706206}"/>
            </a:ext>
          </a:extLst>
        </xdr:cNvPr>
        <xdr:cNvCxnSpPr/>
      </xdr:nvCxnSpPr>
      <xdr:spPr>
        <a:xfrm>
          <a:off x="2492188" y="489138"/>
          <a:ext cx="7894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7"/>
  <sheetViews>
    <sheetView view="pageBreakPreview" zoomScale="115" zoomScaleNormal="115" zoomScaleSheetLayoutView="115" workbookViewId="0">
      <selection activeCell="E156" sqref="E156"/>
    </sheetView>
  </sheetViews>
  <sheetFormatPr defaultRowHeight="15.5"/>
  <cols>
    <col min="1" max="1" width="5.08203125" style="33" customWidth="1"/>
    <col min="2" max="2" width="21.5" style="34" customWidth="1"/>
    <col min="3" max="5" width="9.08203125" style="34" customWidth="1"/>
    <col min="6" max="6" width="9.08203125" customWidth="1"/>
    <col min="7" max="9" width="7.58203125" customWidth="1"/>
    <col min="10" max="10" width="7.08203125" customWidth="1"/>
  </cols>
  <sheetData>
    <row r="1" spans="1:10" ht="20.25" customHeight="1">
      <c r="I1" s="1" t="s">
        <v>211</v>
      </c>
    </row>
    <row r="2" spans="1:10" ht="24.75" customHeight="1">
      <c r="A2" s="161" t="s">
        <v>0</v>
      </c>
      <c r="B2" s="161"/>
      <c r="C2" s="161"/>
      <c r="D2" s="162"/>
      <c r="E2" s="162"/>
      <c r="F2" s="162"/>
      <c r="G2" s="162"/>
      <c r="H2" s="162"/>
      <c r="I2" s="162"/>
    </row>
    <row r="3" spans="1:10" ht="36.75" customHeight="1">
      <c r="A3" s="163" t="s">
        <v>375</v>
      </c>
      <c r="B3" s="160"/>
      <c r="C3" s="160"/>
      <c r="D3" s="160"/>
      <c r="E3" s="160"/>
      <c r="F3" s="160"/>
      <c r="G3" s="160"/>
      <c r="H3" s="160"/>
      <c r="I3" s="160"/>
    </row>
    <row r="4" spans="1:10" ht="21.75" customHeight="1">
      <c r="A4" s="164" t="s">
        <v>4</v>
      </c>
      <c r="B4" s="165" t="s">
        <v>1</v>
      </c>
      <c r="C4" s="164" t="s">
        <v>2</v>
      </c>
      <c r="D4" s="164"/>
      <c r="E4" s="167" t="s">
        <v>3</v>
      </c>
      <c r="F4" s="168"/>
      <c r="G4" s="169" t="s">
        <v>376</v>
      </c>
      <c r="H4" s="169" t="s">
        <v>6</v>
      </c>
      <c r="I4" s="169" t="s">
        <v>25</v>
      </c>
      <c r="J4" s="158" t="s">
        <v>212</v>
      </c>
    </row>
    <row r="5" spans="1:10" ht="49.5" customHeight="1">
      <c r="A5" s="164"/>
      <c r="B5" s="166"/>
      <c r="C5" s="35" t="s">
        <v>255</v>
      </c>
      <c r="D5" s="35" t="s">
        <v>371</v>
      </c>
      <c r="E5" s="35" t="s">
        <v>24</v>
      </c>
      <c r="F5" s="35" t="s">
        <v>371</v>
      </c>
      <c r="G5" s="170"/>
      <c r="H5" s="170"/>
      <c r="I5" s="170"/>
      <c r="J5" s="159"/>
    </row>
    <row r="6" spans="1:10" s="2" customFormat="1" ht="20.149999999999999" customHeight="1">
      <c r="A6" s="36"/>
      <c r="B6" s="36">
        <v>1</v>
      </c>
      <c r="C6" s="36">
        <v>2</v>
      </c>
      <c r="D6" s="36">
        <v>3</v>
      </c>
      <c r="E6" s="36">
        <v>4</v>
      </c>
      <c r="F6" s="3">
        <v>5</v>
      </c>
      <c r="G6" s="3">
        <v>6</v>
      </c>
      <c r="H6" s="3">
        <v>7</v>
      </c>
      <c r="I6" s="3">
        <v>8</v>
      </c>
      <c r="J6" s="21">
        <v>9</v>
      </c>
    </row>
    <row r="7" spans="1:10" ht="20.149999999999999" customHeight="1">
      <c r="A7" s="37" t="s">
        <v>22</v>
      </c>
      <c r="B7" s="38" t="s">
        <v>23</v>
      </c>
      <c r="C7" s="39">
        <f>SUM(C9:C25)</f>
        <v>155.8734</v>
      </c>
      <c r="D7" s="120"/>
      <c r="E7" s="40">
        <f>SUM(E9:E25)</f>
        <v>155113</v>
      </c>
      <c r="F7" s="7"/>
      <c r="G7" s="8"/>
      <c r="H7" s="8"/>
      <c r="I7" s="6"/>
      <c r="J7" s="10"/>
    </row>
    <row r="8" spans="1:10" ht="20.149999999999999" customHeight="1">
      <c r="A8" s="37">
        <v>1</v>
      </c>
      <c r="B8" s="38" t="s">
        <v>26</v>
      </c>
      <c r="C8" s="39"/>
      <c r="D8" s="120"/>
      <c r="E8" s="40"/>
      <c r="F8" s="7"/>
      <c r="G8" s="8"/>
      <c r="H8" s="8"/>
      <c r="I8" s="6"/>
      <c r="J8" s="10"/>
    </row>
    <row r="9" spans="1:10" ht="20.149999999999999" customHeight="1">
      <c r="A9" s="43" t="s">
        <v>29</v>
      </c>
      <c r="B9" s="44" t="s">
        <v>11</v>
      </c>
      <c r="C9" s="46">
        <f>1767.33/100</f>
        <v>17.673299999999998</v>
      </c>
      <c r="D9" s="55">
        <f>C9/30*100</f>
        <v>58.910999999999994</v>
      </c>
      <c r="E9" s="127">
        <v>11441</v>
      </c>
      <c r="F9" s="14">
        <f>E9/8000*100</f>
        <v>143.01250000000002</v>
      </c>
      <c r="G9" s="8"/>
      <c r="H9" s="8"/>
      <c r="I9" s="6"/>
      <c r="J9" s="10" t="s">
        <v>65</v>
      </c>
    </row>
    <row r="10" spans="1:10" ht="20.149999999999999" customHeight="1">
      <c r="A10" s="43" t="s">
        <v>30</v>
      </c>
      <c r="B10" s="44" t="s">
        <v>12</v>
      </c>
      <c r="C10" s="46">
        <f>1331.94/100</f>
        <v>13.3194</v>
      </c>
      <c r="D10" s="55">
        <f t="shared" ref="D10:D14" si="0">C10/30*100</f>
        <v>44.397999999999996</v>
      </c>
      <c r="E10" s="47">
        <v>11240</v>
      </c>
      <c r="F10" s="14">
        <f t="shared" ref="F10:F14" si="1">E10/8000*100</f>
        <v>140.5</v>
      </c>
      <c r="G10" s="8"/>
      <c r="H10" s="8"/>
      <c r="I10" s="6"/>
      <c r="J10" s="10" t="s">
        <v>65</v>
      </c>
    </row>
    <row r="11" spans="1:10" ht="20.149999999999999" customHeight="1">
      <c r="A11" s="43" t="s">
        <v>31</v>
      </c>
      <c r="B11" s="44" t="s">
        <v>18</v>
      </c>
      <c r="C11" s="46">
        <f>555.73/100</f>
        <v>5.5573000000000006</v>
      </c>
      <c r="D11" s="55">
        <f t="shared" si="0"/>
        <v>18.524333333333335</v>
      </c>
      <c r="E11" s="127">
        <v>10669</v>
      </c>
      <c r="F11" s="14">
        <f t="shared" si="1"/>
        <v>133.36250000000001</v>
      </c>
      <c r="G11" s="8"/>
      <c r="H11" s="8"/>
      <c r="I11" s="6"/>
      <c r="J11" s="10" t="s">
        <v>65</v>
      </c>
    </row>
    <row r="12" spans="1:10" ht="20.149999999999999" customHeight="1">
      <c r="A12" s="43" t="s">
        <v>32</v>
      </c>
      <c r="B12" s="44" t="s">
        <v>19</v>
      </c>
      <c r="C12" s="46">
        <f>322.38/100</f>
        <v>3.2237999999999998</v>
      </c>
      <c r="D12" s="55">
        <f t="shared" si="0"/>
        <v>10.745999999999999</v>
      </c>
      <c r="E12" s="127">
        <v>3891</v>
      </c>
      <c r="F12" s="14">
        <f t="shared" si="1"/>
        <v>48.637500000000003</v>
      </c>
      <c r="G12" s="8"/>
      <c r="H12" s="8"/>
      <c r="I12" s="6"/>
      <c r="J12" s="10" t="s">
        <v>65</v>
      </c>
    </row>
    <row r="13" spans="1:10" ht="20.149999999999999" customHeight="1">
      <c r="A13" s="43" t="s">
        <v>33</v>
      </c>
      <c r="B13" s="44" t="s">
        <v>20</v>
      </c>
      <c r="C13" s="46">
        <f>4529.45/100</f>
        <v>45.294499999999999</v>
      </c>
      <c r="D13" s="55">
        <f t="shared" si="0"/>
        <v>150.98166666666665</v>
      </c>
      <c r="E13" s="127">
        <v>5256</v>
      </c>
      <c r="F13" s="14">
        <f t="shared" si="1"/>
        <v>65.7</v>
      </c>
      <c r="G13" s="8"/>
      <c r="H13" s="8"/>
      <c r="I13" s="6"/>
      <c r="J13" s="10" t="s">
        <v>65</v>
      </c>
    </row>
    <row r="14" spans="1:10" ht="20.149999999999999" customHeight="1">
      <c r="A14" s="43" t="s">
        <v>34</v>
      </c>
      <c r="B14" s="44" t="s">
        <v>21</v>
      </c>
      <c r="C14" s="46">
        <f>1570.26/100</f>
        <v>15.7026</v>
      </c>
      <c r="D14" s="55">
        <f t="shared" si="0"/>
        <v>52.341999999999999</v>
      </c>
      <c r="E14" s="127">
        <v>6217</v>
      </c>
      <c r="F14" s="14">
        <f t="shared" si="1"/>
        <v>77.712499999999991</v>
      </c>
      <c r="G14" s="8"/>
      <c r="H14" s="8"/>
      <c r="I14" s="6"/>
      <c r="J14" s="10" t="s">
        <v>65</v>
      </c>
    </row>
    <row r="15" spans="1:10" ht="20.149999999999999" customHeight="1">
      <c r="A15" s="37">
        <v>2</v>
      </c>
      <c r="B15" s="38" t="s">
        <v>27</v>
      </c>
      <c r="C15" s="39"/>
      <c r="D15" s="48"/>
      <c r="E15" s="40"/>
      <c r="F15" s="7"/>
      <c r="G15" s="129"/>
      <c r="H15" s="8"/>
      <c r="I15" s="6"/>
      <c r="J15" s="22"/>
    </row>
    <row r="16" spans="1:10" ht="20.149999999999999" customHeight="1">
      <c r="A16" s="37">
        <v>3</v>
      </c>
      <c r="B16" s="38" t="s">
        <v>28</v>
      </c>
      <c r="C16" s="39"/>
      <c r="D16" s="48"/>
      <c r="E16" s="40"/>
      <c r="F16" s="7"/>
      <c r="G16" s="8"/>
      <c r="H16" s="8"/>
      <c r="I16" s="6"/>
      <c r="J16" s="22"/>
    </row>
    <row r="17" spans="1:10" ht="20.149999999999999" customHeight="1">
      <c r="A17" s="43" t="s">
        <v>35</v>
      </c>
      <c r="B17" s="49" t="s">
        <v>7</v>
      </c>
      <c r="C17" s="46">
        <f>994.83/100</f>
        <v>9.9482999999999997</v>
      </c>
      <c r="D17" s="55">
        <f>C17/5.5*100</f>
        <v>180.87818181818182</v>
      </c>
      <c r="E17" s="127">
        <v>23390</v>
      </c>
      <c r="F17" s="5">
        <f>E17/7000*100</f>
        <v>334.14285714285717</v>
      </c>
      <c r="G17" s="4"/>
      <c r="H17" s="4"/>
      <c r="I17" s="4"/>
      <c r="J17" s="10" t="s">
        <v>65</v>
      </c>
    </row>
    <row r="18" spans="1:10" ht="20.149999999999999" customHeight="1">
      <c r="A18" s="43" t="s">
        <v>36</v>
      </c>
      <c r="B18" s="49" t="s">
        <v>8</v>
      </c>
      <c r="C18" s="46">
        <f>403.72/100</f>
        <v>4.0372000000000003</v>
      </c>
      <c r="D18" s="55">
        <f t="shared" ref="D18:D25" si="2">C18/5.5*100</f>
        <v>73.403636363636366</v>
      </c>
      <c r="E18" s="127">
        <v>21054</v>
      </c>
      <c r="F18" s="5">
        <f t="shared" ref="F18:F25" si="3">E18/7000*100</f>
        <v>300.77142857142854</v>
      </c>
      <c r="G18" s="4"/>
      <c r="H18" s="4"/>
      <c r="I18" s="4"/>
      <c r="J18" s="10" t="s">
        <v>65</v>
      </c>
    </row>
    <row r="19" spans="1:10" ht="20.149999999999999" customHeight="1">
      <c r="A19" s="43" t="s">
        <v>37</v>
      </c>
      <c r="B19" s="49" t="s">
        <v>9</v>
      </c>
      <c r="C19" s="46">
        <f>379.02/100</f>
        <v>3.7902</v>
      </c>
      <c r="D19" s="55">
        <f t="shared" si="2"/>
        <v>68.912727272727267</v>
      </c>
      <c r="E19" s="127">
        <v>13113</v>
      </c>
      <c r="F19" s="5">
        <f t="shared" si="3"/>
        <v>187.32857142857142</v>
      </c>
      <c r="G19" s="4"/>
      <c r="H19" s="4"/>
      <c r="I19" s="4"/>
      <c r="J19" s="10" t="s">
        <v>65</v>
      </c>
    </row>
    <row r="20" spans="1:10" ht="20.149999999999999" customHeight="1">
      <c r="A20" s="43" t="s">
        <v>38</v>
      </c>
      <c r="B20" s="49" t="s">
        <v>10</v>
      </c>
      <c r="C20" s="46">
        <f>1955.15/100</f>
        <v>19.551500000000001</v>
      </c>
      <c r="D20" s="55">
        <f t="shared" si="2"/>
        <v>355.4818181818182</v>
      </c>
      <c r="E20" s="127">
        <v>11005</v>
      </c>
      <c r="F20" s="5">
        <f t="shared" si="3"/>
        <v>157.21428571428569</v>
      </c>
      <c r="G20" s="4"/>
      <c r="H20" s="4"/>
      <c r="I20" s="4"/>
      <c r="J20" s="10" t="s">
        <v>65</v>
      </c>
    </row>
    <row r="21" spans="1:10" ht="20.149999999999999" customHeight="1">
      <c r="A21" s="43" t="s">
        <v>39</v>
      </c>
      <c r="B21" s="49" t="s">
        <v>13</v>
      </c>
      <c r="C21" s="46">
        <f>749.04/100</f>
        <v>7.4903999999999993</v>
      </c>
      <c r="D21" s="55">
        <f t="shared" si="2"/>
        <v>136.18909090909091</v>
      </c>
      <c r="E21" s="127">
        <v>9918</v>
      </c>
      <c r="F21" s="5">
        <f t="shared" si="3"/>
        <v>141.68571428571428</v>
      </c>
      <c r="G21" s="4"/>
      <c r="H21" s="4"/>
      <c r="I21" s="4"/>
      <c r="J21" s="10" t="s">
        <v>65</v>
      </c>
    </row>
    <row r="22" spans="1:10" ht="20.149999999999999" customHeight="1">
      <c r="A22" s="43" t="s">
        <v>40</v>
      </c>
      <c r="B22" s="49" t="s">
        <v>14</v>
      </c>
      <c r="C22" s="46">
        <f>192.98/100</f>
        <v>1.9298</v>
      </c>
      <c r="D22" s="55">
        <f t="shared" si="2"/>
        <v>35.087272727272726</v>
      </c>
      <c r="E22" s="127">
        <v>9170</v>
      </c>
      <c r="F22" s="5">
        <f t="shared" si="3"/>
        <v>131</v>
      </c>
      <c r="G22" s="4"/>
      <c r="H22" s="4"/>
      <c r="I22" s="4"/>
      <c r="J22" s="10" t="s">
        <v>65</v>
      </c>
    </row>
    <row r="23" spans="1:10" ht="20.149999999999999" customHeight="1">
      <c r="A23" s="43" t="s">
        <v>41</v>
      </c>
      <c r="B23" s="49" t="s">
        <v>15</v>
      </c>
      <c r="C23" s="46">
        <f>278.11/100</f>
        <v>2.7811000000000003</v>
      </c>
      <c r="D23" s="55">
        <f t="shared" si="2"/>
        <v>50.56545454545455</v>
      </c>
      <c r="E23" s="127">
        <v>7301</v>
      </c>
      <c r="F23" s="5">
        <f t="shared" si="3"/>
        <v>104.3</v>
      </c>
      <c r="G23" s="4"/>
      <c r="H23" s="4"/>
      <c r="I23" s="4"/>
      <c r="J23" s="10" t="s">
        <v>65</v>
      </c>
    </row>
    <row r="24" spans="1:10" ht="20.149999999999999" customHeight="1">
      <c r="A24" s="43" t="s">
        <v>42</v>
      </c>
      <c r="B24" s="49" t="s">
        <v>16</v>
      </c>
      <c r="C24" s="46">
        <f>244.79/100</f>
        <v>2.4478999999999997</v>
      </c>
      <c r="D24" s="55">
        <f t="shared" si="2"/>
        <v>44.507272727272721</v>
      </c>
      <c r="E24" s="127">
        <v>6954</v>
      </c>
      <c r="F24" s="5">
        <f t="shared" si="3"/>
        <v>99.342857142857142</v>
      </c>
      <c r="G24" s="4"/>
      <c r="H24" s="4"/>
      <c r="I24" s="4"/>
      <c r="J24" s="10" t="s">
        <v>65</v>
      </c>
    </row>
    <row r="25" spans="1:10" ht="20.149999999999999" customHeight="1">
      <c r="A25" s="43" t="s">
        <v>43</v>
      </c>
      <c r="B25" s="49" t="s">
        <v>17</v>
      </c>
      <c r="C25" s="46">
        <f>312.61/100</f>
        <v>3.1261000000000001</v>
      </c>
      <c r="D25" s="55">
        <f t="shared" si="2"/>
        <v>56.838181818181823</v>
      </c>
      <c r="E25" s="127">
        <v>4494</v>
      </c>
      <c r="F25" s="5">
        <f t="shared" si="3"/>
        <v>64.2</v>
      </c>
      <c r="G25" s="4"/>
      <c r="H25" s="4"/>
      <c r="I25" s="4"/>
      <c r="J25" s="10" t="s">
        <v>65</v>
      </c>
    </row>
    <row r="26" spans="1:10" ht="20.149999999999999" customHeight="1">
      <c r="A26" s="37" t="s">
        <v>45</v>
      </c>
      <c r="B26" s="52" t="s">
        <v>46</v>
      </c>
      <c r="C26" s="39">
        <f>SUM(C27:C45)</f>
        <v>162.30120000000002</v>
      </c>
      <c r="D26" s="39"/>
      <c r="E26" s="40">
        <f t="shared" ref="E26" si="4">SUM(E27:E45)</f>
        <v>125775</v>
      </c>
      <c r="F26" s="15"/>
      <c r="G26" s="15"/>
      <c r="H26" s="15"/>
      <c r="I26" s="15"/>
      <c r="J26" s="22"/>
    </row>
    <row r="27" spans="1:10" ht="20.149999999999999" customHeight="1">
      <c r="A27" s="37">
        <v>1</v>
      </c>
      <c r="B27" s="38" t="s">
        <v>26</v>
      </c>
      <c r="C27" s="39"/>
      <c r="D27" s="39"/>
      <c r="E27" s="40"/>
      <c r="F27" s="7"/>
      <c r="G27" s="8"/>
      <c r="H27" s="8"/>
      <c r="I27" s="6"/>
      <c r="J27" s="22"/>
    </row>
    <row r="28" spans="1:10" ht="20.149999999999999" customHeight="1">
      <c r="A28" s="43" t="s">
        <v>29</v>
      </c>
      <c r="B28" s="44" t="s">
        <v>53</v>
      </c>
      <c r="C28" s="46">
        <f>562.48/100</f>
        <v>5.6248000000000005</v>
      </c>
      <c r="D28" s="55">
        <f>C28/30*100</f>
        <v>18.749333333333336</v>
      </c>
      <c r="E28" s="63">
        <v>10893</v>
      </c>
      <c r="F28" s="5">
        <f>E28/8000*100</f>
        <v>136.16250000000002</v>
      </c>
      <c r="G28" s="4"/>
      <c r="H28" s="4"/>
      <c r="I28" s="4"/>
      <c r="J28" s="10" t="s">
        <v>65</v>
      </c>
    </row>
    <row r="29" spans="1:10" ht="20.149999999999999" customHeight="1">
      <c r="A29" s="43" t="s">
        <v>30</v>
      </c>
      <c r="B29" s="44" t="s">
        <v>54</v>
      </c>
      <c r="C29" s="46">
        <f>606.65/100</f>
        <v>6.0664999999999996</v>
      </c>
      <c r="D29" s="55">
        <f t="shared" ref="D29:D37" si="5">C29/30*100</f>
        <v>20.221666666666664</v>
      </c>
      <c r="E29" s="63">
        <v>9787</v>
      </c>
      <c r="F29" s="5">
        <f t="shared" ref="F29:F37" si="6">E29/8000*100</f>
        <v>122.33750000000001</v>
      </c>
      <c r="G29" s="4"/>
      <c r="H29" s="4"/>
      <c r="I29" s="4"/>
      <c r="J29" s="10" t="s">
        <v>65</v>
      </c>
    </row>
    <row r="30" spans="1:10" ht="20.149999999999999" customHeight="1">
      <c r="A30" s="43" t="s">
        <v>31</v>
      </c>
      <c r="B30" s="44" t="s">
        <v>55</v>
      </c>
      <c r="C30" s="46">
        <f>454.56/100</f>
        <v>4.5456000000000003</v>
      </c>
      <c r="D30" s="55">
        <f t="shared" si="5"/>
        <v>15.152000000000001</v>
      </c>
      <c r="E30" s="63">
        <v>6835</v>
      </c>
      <c r="F30" s="5">
        <f t="shared" si="6"/>
        <v>85.4375</v>
      </c>
      <c r="G30" s="4"/>
      <c r="H30" s="4"/>
      <c r="I30" s="4"/>
      <c r="J30" s="10" t="s">
        <v>65</v>
      </c>
    </row>
    <row r="31" spans="1:10" ht="20.149999999999999" customHeight="1">
      <c r="A31" s="43" t="s">
        <v>32</v>
      </c>
      <c r="B31" s="44" t="s">
        <v>56</v>
      </c>
      <c r="C31" s="46">
        <f>1818.52/100</f>
        <v>18.185199999999998</v>
      </c>
      <c r="D31" s="55">
        <f t="shared" si="5"/>
        <v>60.61733333333332</v>
      </c>
      <c r="E31" s="63">
        <v>9012</v>
      </c>
      <c r="F31" s="5">
        <f t="shared" si="6"/>
        <v>112.65</v>
      </c>
      <c r="G31" s="4"/>
      <c r="H31" s="4"/>
      <c r="I31" s="4"/>
      <c r="J31" s="10" t="s">
        <v>65</v>
      </c>
    </row>
    <row r="32" spans="1:10" ht="20.149999999999999" customHeight="1">
      <c r="A32" s="43" t="s">
        <v>33</v>
      </c>
      <c r="B32" s="44" t="s">
        <v>57</v>
      </c>
      <c r="C32" s="46">
        <f>5373.09/100</f>
        <v>53.730899999999998</v>
      </c>
      <c r="D32" s="55">
        <f t="shared" si="5"/>
        <v>179.10299999999998</v>
      </c>
      <c r="E32" s="63">
        <v>8155</v>
      </c>
      <c r="F32" s="5">
        <f t="shared" si="6"/>
        <v>101.93749999999999</v>
      </c>
      <c r="G32" s="4"/>
      <c r="H32" s="4"/>
      <c r="I32" s="4"/>
      <c r="J32" s="10" t="s">
        <v>65</v>
      </c>
    </row>
    <row r="33" spans="1:10" ht="20.149999999999999" customHeight="1">
      <c r="A33" s="43" t="s">
        <v>34</v>
      </c>
      <c r="B33" s="44" t="s">
        <v>58</v>
      </c>
      <c r="C33" s="46">
        <f>277.18/100</f>
        <v>2.7718000000000003</v>
      </c>
      <c r="D33" s="55">
        <f t="shared" si="5"/>
        <v>9.2393333333333345</v>
      </c>
      <c r="E33" s="63">
        <v>2975</v>
      </c>
      <c r="F33" s="5">
        <f t="shared" si="6"/>
        <v>37.1875</v>
      </c>
      <c r="G33" s="4"/>
      <c r="H33" s="4"/>
      <c r="I33" s="4"/>
      <c r="J33" s="10" t="s">
        <v>65</v>
      </c>
    </row>
    <row r="34" spans="1:10" ht="20.149999999999999" customHeight="1">
      <c r="A34" s="43" t="s">
        <v>177</v>
      </c>
      <c r="B34" s="44" t="s">
        <v>59</v>
      </c>
      <c r="C34" s="46">
        <f>290.8/100</f>
        <v>2.9079999999999999</v>
      </c>
      <c r="D34" s="55">
        <f t="shared" si="5"/>
        <v>9.6933333333333334</v>
      </c>
      <c r="E34" s="63">
        <v>4054</v>
      </c>
      <c r="F34" s="5">
        <f t="shared" si="6"/>
        <v>50.675000000000004</v>
      </c>
      <c r="G34" s="4"/>
      <c r="H34" s="4"/>
      <c r="I34" s="4"/>
      <c r="J34" s="10" t="s">
        <v>65</v>
      </c>
    </row>
    <row r="35" spans="1:10" ht="20.149999999999999" customHeight="1">
      <c r="A35" s="43" t="s">
        <v>178</v>
      </c>
      <c r="B35" s="44" t="s">
        <v>60</v>
      </c>
      <c r="C35" s="46">
        <f>679.24/100</f>
        <v>6.7923999999999998</v>
      </c>
      <c r="D35" s="55">
        <f t="shared" si="5"/>
        <v>22.641333333333332</v>
      </c>
      <c r="E35" s="63">
        <v>6434</v>
      </c>
      <c r="F35" s="5">
        <f t="shared" si="6"/>
        <v>80.424999999999997</v>
      </c>
      <c r="G35" s="4"/>
      <c r="H35" s="4"/>
      <c r="I35" s="4"/>
      <c r="J35" s="10" t="s">
        <v>65</v>
      </c>
    </row>
    <row r="36" spans="1:10" ht="20.149999999999999" customHeight="1">
      <c r="A36" s="43" t="s">
        <v>179</v>
      </c>
      <c r="B36" s="44" t="s">
        <v>61</v>
      </c>
      <c r="C36" s="46">
        <f>1009.57/100</f>
        <v>10.095700000000001</v>
      </c>
      <c r="D36" s="55">
        <f t="shared" si="5"/>
        <v>33.652333333333331</v>
      </c>
      <c r="E36" s="63">
        <v>6025</v>
      </c>
      <c r="F36" s="5">
        <f t="shared" si="6"/>
        <v>75.3125</v>
      </c>
      <c r="G36" s="4"/>
      <c r="H36" s="4"/>
      <c r="I36" s="4"/>
      <c r="J36" s="10" t="s">
        <v>65</v>
      </c>
    </row>
    <row r="37" spans="1:10" ht="20.149999999999999" customHeight="1">
      <c r="A37" s="43" t="s">
        <v>180</v>
      </c>
      <c r="B37" s="44" t="s">
        <v>62</v>
      </c>
      <c r="C37" s="46">
        <f>424.97/100</f>
        <v>4.2497000000000007</v>
      </c>
      <c r="D37" s="55">
        <f t="shared" si="5"/>
        <v>14.165666666666668</v>
      </c>
      <c r="E37" s="63">
        <v>3529</v>
      </c>
      <c r="F37" s="5">
        <f t="shared" si="6"/>
        <v>44.112499999999997</v>
      </c>
      <c r="G37" s="4"/>
      <c r="H37" s="4"/>
      <c r="I37" s="4"/>
      <c r="J37" s="10" t="s">
        <v>65</v>
      </c>
    </row>
    <row r="38" spans="1:10" ht="20.149999999999999" customHeight="1">
      <c r="A38" s="37">
        <v>2</v>
      </c>
      <c r="B38" s="38" t="s">
        <v>27</v>
      </c>
      <c r="C38" s="51"/>
      <c r="D38" s="51"/>
      <c r="E38" s="51"/>
      <c r="F38" s="4"/>
      <c r="G38" s="4"/>
      <c r="H38" s="4"/>
      <c r="I38" s="4"/>
      <c r="J38" s="4"/>
    </row>
    <row r="39" spans="1:10" ht="20.149999999999999" customHeight="1">
      <c r="A39" s="37">
        <v>3</v>
      </c>
      <c r="B39" s="38" t="s">
        <v>28</v>
      </c>
      <c r="C39" s="51"/>
      <c r="D39" s="51"/>
      <c r="E39" s="51"/>
      <c r="F39" s="4"/>
      <c r="G39" s="4"/>
      <c r="H39" s="4"/>
      <c r="I39" s="4"/>
      <c r="J39" s="4"/>
    </row>
    <row r="40" spans="1:10" ht="20.149999999999999" customHeight="1">
      <c r="A40" s="43" t="s">
        <v>35</v>
      </c>
      <c r="B40" s="44" t="s">
        <v>47</v>
      </c>
      <c r="C40" s="46">
        <f>1417.76/100</f>
        <v>14.1776</v>
      </c>
      <c r="D40" s="55">
        <f>C40/5.5*100</f>
        <v>257.77454545454543</v>
      </c>
      <c r="E40" s="63">
        <v>10293</v>
      </c>
      <c r="F40" s="5">
        <f>E40/7000*100</f>
        <v>147.04285714285714</v>
      </c>
      <c r="G40" s="4"/>
      <c r="H40" s="4"/>
      <c r="I40" s="4"/>
      <c r="J40" s="10" t="s">
        <v>65</v>
      </c>
    </row>
    <row r="41" spans="1:10" ht="20.149999999999999" customHeight="1">
      <c r="A41" s="43" t="s">
        <v>36</v>
      </c>
      <c r="B41" s="44" t="s">
        <v>48</v>
      </c>
      <c r="C41" s="46">
        <f>773.5/100</f>
        <v>7.7350000000000003</v>
      </c>
      <c r="D41" s="55">
        <f t="shared" ref="D41:D45" si="7">C41/5.5*100</f>
        <v>140.63636363636365</v>
      </c>
      <c r="E41" s="63">
        <v>8492</v>
      </c>
      <c r="F41" s="5">
        <f t="shared" ref="F41:F45" si="8">E41/7000*100</f>
        <v>121.3142857142857</v>
      </c>
      <c r="G41" s="4"/>
      <c r="H41" s="4"/>
      <c r="I41" s="4"/>
      <c r="J41" s="10" t="s">
        <v>65</v>
      </c>
    </row>
    <row r="42" spans="1:10" ht="20.149999999999999" customHeight="1">
      <c r="A42" s="43" t="s">
        <v>37</v>
      </c>
      <c r="B42" s="44" t="s">
        <v>49</v>
      </c>
      <c r="C42" s="46">
        <f>921.84/100</f>
        <v>9.2184000000000008</v>
      </c>
      <c r="D42" s="55">
        <f t="shared" si="7"/>
        <v>167.60727272727274</v>
      </c>
      <c r="E42" s="63">
        <v>14015</v>
      </c>
      <c r="F42" s="5">
        <f t="shared" si="8"/>
        <v>200.21428571428572</v>
      </c>
      <c r="G42" s="4"/>
      <c r="H42" s="4"/>
      <c r="I42" s="4"/>
      <c r="J42" s="10" t="s">
        <v>65</v>
      </c>
    </row>
    <row r="43" spans="1:10" ht="20.149999999999999" customHeight="1">
      <c r="A43" s="43" t="s">
        <v>38</v>
      </c>
      <c r="B43" s="44" t="s">
        <v>50</v>
      </c>
      <c r="C43" s="46">
        <f>181.63/100</f>
        <v>1.8163</v>
      </c>
      <c r="D43" s="55">
        <f t="shared" si="7"/>
        <v>33.023636363636363</v>
      </c>
      <c r="E43" s="63">
        <v>11415</v>
      </c>
      <c r="F43" s="5">
        <f t="shared" si="8"/>
        <v>163.07142857142858</v>
      </c>
      <c r="G43" s="4"/>
      <c r="H43" s="4"/>
      <c r="I43" s="4"/>
      <c r="J43" s="10" t="s">
        <v>65</v>
      </c>
    </row>
    <row r="44" spans="1:10" ht="20.149999999999999" customHeight="1">
      <c r="A44" s="43" t="s">
        <v>39</v>
      </c>
      <c r="B44" s="44" t="s">
        <v>51</v>
      </c>
      <c r="C44" s="46">
        <f>964.27/100</f>
        <v>9.6426999999999996</v>
      </c>
      <c r="D44" s="55">
        <f t="shared" si="7"/>
        <v>175.32181818181817</v>
      </c>
      <c r="E44" s="63">
        <v>7014</v>
      </c>
      <c r="F44" s="5">
        <f t="shared" si="8"/>
        <v>100.2</v>
      </c>
      <c r="G44" s="4"/>
      <c r="H44" s="4"/>
      <c r="I44" s="4"/>
      <c r="J44" s="10" t="s">
        <v>65</v>
      </c>
    </row>
    <row r="45" spans="1:10" ht="20.149999999999999" customHeight="1">
      <c r="A45" s="43" t="s">
        <v>40</v>
      </c>
      <c r="B45" s="44" t="s">
        <v>52</v>
      </c>
      <c r="C45" s="46">
        <f>474.06/100</f>
        <v>4.7405999999999997</v>
      </c>
      <c r="D45" s="55">
        <f t="shared" si="7"/>
        <v>86.192727272727268</v>
      </c>
      <c r="E45" s="63">
        <v>6847</v>
      </c>
      <c r="F45" s="5">
        <f t="shared" si="8"/>
        <v>97.814285714285703</v>
      </c>
      <c r="G45" s="4"/>
      <c r="H45" s="4"/>
      <c r="I45" s="4"/>
      <c r="J45" s="10" t="s">
        <v>65</v>
      </c>
    </row>
    <row r="46" spans="1:10" ht="20.149999999999999" customHeight="1">
      <c r="A46" s="37" t="s">
        <v>181</v>
      </c>
      <c r="B46" s="52" t="s">
        <v>182</v>
      </c>
      <c r="C46" s="56">
        <f>SUM(C48:C61)</f>
        <v>1393.7538000000002</v>
      </c>
      <c r="D46" s="56"/>
      <c r="E46" s="57">
        <f t="shared" ref="E46" si="9">SUM(E48:E61)</f>
        <v>61745</v>
      </c>
      <c r="F46" s="15"/>
      <c r="G46" s="15"/>
      <c r="H46" s="15"/>
      <c r="I46" s="15"/>
      <c r="J46" s="4"/>
    </row>
    <row r="47" spans="1:10" ht="20.149999999999999" customHeight="1">
      <c r="A47" s="37">
        <v>1</v>
      </c>
      <c r="B47" s="38" t="s">
        <v>26</v>
      </c>
      <c r="C47" s="39"/>
      <c r="D47" s="39"/>
      <c r="E47" s="40"/>
      <c r="F47" s="7"/>
      <c r="G47" s="8"/>
      <c r="H47" s="8"/>
      <c r="I47" s="6"/>
      <c r="J47" s="4"/>
    </row>
    <row r="48" spans="1:10" ht="20.149999999999999" customHeight="1">
      <c r="A48" s="43" t="s">
        <v>29</v>
      </c>
      <c r="B48" s="61" t="s">
        <v>64</v>
      </c>
      <c r="C48" s="121">
        <f>17452.34/100</f>
        <v>174.52340000000001</v>
      </c>
      <c r="D48" s="55">
        <f>C48/50*100</f>
        <v>349.04680000000002</v>
      </c>
      <c r="E48" s="128">
        <v>4620</v>
      </c>
      <c r="F48" s="5">
        <f>E48/5000*100</f>
        <v>92.4</v>
      </c>
      <c r="G48" s="10" t="s">
        <v>65</v>
      </c>
      <c r="H48" s="4"/>
      <c r="I48" s="4"/>
      <c r="J48" s="10" t="s">
        <v>65</v>
      </c>
    </row>
    <row r="49" spans="1:10" ht="20.149999999999999" customHeight="1">
      <c r="A49" s="43" t="s">
        <v>30</v>
      </c>
      <c r="B49" s="61" t="s">
        <v>66</v>
      </c>
      <c r="C49" s="121">
        <f>19047.91/100</f>
        <v>190.47909999999999</v>
      </c>
      <c r="D49" s="55">
        <f>C49/50*100</f>
        <v>380.95819999999998</v>
      </c>
      <c r="E49" s="128">
        <v>4912</v>
      </c>
      <c r="F49" s="5">
        <f>E49/5000*100</f>
        <v>98.240000000000009</v>
      </c>
      <c r="G49" s="10" t="s">
        <v>65</v>
      </c>
      <c r="H49" s="4"/>
      <c r="I49" s="4"/>
      <c r="J49" s="10" t="s">
        <v>65</v>
      </c>
    </row>
    <row r="50" spans="1:10" ht="20.149999999999999" customHeight="1">
      <c r="A50" s="43" t="s">
        <v>31</v>
      </c>
      <c r="B50" s="61" t="s">
        <v>67</v>
      </c>
      <c r="C50" s="121">
        <f>6947.97/100</f>
        <v>69.479700000000008</v>
      </c>
      <c r="D50" s="55">
        <f>C50/30*100</f>
        <v>231.59900000000002</v>
      </c>
      <c r="E50" s="128">
        <v>4207</v>
      </c>
      <c r="F50" s="5">
        <f>E50/8000*100</f>
        <v>52.587499999999999</v>
      </c>
      <c r="G50" s="4"/>
      <c r="H50" s="4"/>
      <c r="I50" s="4"/>
      <c r="J50" s="10" t="s">
        <v>65</v>
      </c>
    </row>
    <row r="51" spans="1:10" ht="20.149999999999999" customHeight="1">
      <c r="A51" s="43" t="s">
        <v>32</v>
      </c>
      <c r="B51" s="61" t="s">
        <v>68</v>
      </c>
      <c r="C51" s="121">
        <f>8977.19/100</f>
        <v>89.771900000000002</v>
      </c>
      <c r="D51" s="55">
        <f>C51/50*100</f>
        <v>179.5438</v>
      </c>
      <c r="E51" s="128">
        <v>5513</v>
      </c>
      <c r="F51" s="5">
        <f>E51/5000*100</f>
        <v>110.26</v>
      </c>
      <c r="G51" s="10" t="s">
        <v>65</v>
      </c>
      <c r="H51" s="4"/>
      <c r="I51" s="10" t="s">
        <v>65</v>
      </c>
      <c r="J51" s="10"/>
    </row>
    <row r="52" spans="1:10" ht="20.149999999999999" customHeight="1">
      <c r="A52" s="43" t="s">
        <v>33</v>
      </c>
      <c r="B52" s="61" t="s">
        <v>69</v>
      </c>
      <c r="C52" s="121">
        <f>5184.4/100</f>
        <v>51.843999999999994</v>
      </c>
      <c r="D52" s="55">
        <f>C52/50*100</f>
        <v>103.68799999999997</v>
      </c>
      <c r="E52" s="128">
        <v>4082</v>
      </c>
      <c r="F52" s="5">
        <f>E52/5000*100</f>
        <v>81.64</v>
      </c>
      <c r="G52" s="10" t="s">
        <v>65</v>
      </c>
      <c r="H52" s="4"/>
      <c r="I52" s="4"/>
      <c r="J52" s="10" t="s">
        <v>65</v>
      </c>
    </row>
    <row r="53" spans="1:10" ht="20.149999999999999" customHeight="1">
      <c r="A53" s="43" t="s">
        <v>34</v>
      </c>
      <c r="B53" s="61" t="s">
        <v>70</v>
      </c>
      <c r="C53" s="121">
        <f>4035.81/100</f>
        <v>40.3581</v>
      </c>
      <c r="D53" s="55">
        <f>C53/30*100</f>
        <v>134.52699999999999</v>
      </c>
      <c r="E53" s="128">
        <v>3512</v>
      </c>
      <c r="F53" s="5">
        <f t="shared" ref="F53:F58" si="10">E53/8000*100</f>
        <v>43.9</v>
      </c>
      <c r="G53" s="4"/>
      <c r="H53" s="4"/>
      <c r="I53" s="4"/>
      <c r="J53" s="10" t="s">
        <v>65</v>
      </c>
    </row>
    <row r="54" spans="1:10" ht="20.149999999999999" customHeight="1">
      <c r="A54" s="43" t="s">
        <v>177</v>
      </c>
      <c r="B54" s="61" t="s">
        <v>71</v>
      </c>
      <c r="C54" s="121">
        <f>3186.26/100</f>
        <v>31.8626</v>
      </c>
      <c r="D54" s="55">
        <f t="shared" ref="D54:D56" si="11">C54/30*100</f>
        <v>106.20866666666666</v>
      </c>
      <c r="E54" s="128">
        <v>5108</v>
      </c>
      <c r="F54" s="5">
        <f t="shared" si="10"/>
        <v>63.849999999999994</v>
      </c>
      <c r="G54" s="4"/>
      <c r="H54" s="4"/>
      <c r="I54" s="4"/>
      <c r="J54" s="10" t="s">
        <v>65</v>
      </c>
    </row>
    <row r="55" spans="1:10" ht="20.149999999999999" customHeight="1">
      <c r="A55" s="43" t="s">
        <v>178</v>
      </c>
      <c r="B55" s="61" t="s">
        <v>72</v>
      </c>
      <c r="C55" s="121">
        <f>3397.14/100</f>
        <v>33.971399999999996</v>
      </c>
      <c r="D55" s="55">
        <f t="shared" si="11"/>
        <v>113.238</v>
      </c>
      <c r="E55" s="128">
        <v>4732</v>
      </c>
      <c r="F55" s="5">
        <f t="shared" si="10"/>
        <v>59.150000000000006</v>
      </c>
      <c r="G55" s="4"/>
      <c r="H55" s="4"/>
      <c r="I55" s="4"/>
      <c r="J55" s="10" t="s">
        <v>65</v>
      </c>
    </row>
    <row r="56" spans="1:10" ht="20.149999999999999" customHeight="1">
      <c r="A56" s="43" t="s">
        <v>179</v>
      </c>
      <c r="B56" s="61" t="s">
        <v>73</v>
      </c>
      <c r="C56" s="121">
        <f>7185.12/100</f>
        <v>71.851200000000006</v>
      </c>
      <c r="D56" s="55">
        <f t="shared" si="11"/>
        <v>239.50400000000002</v>
      </c>
      <c r="E56" s="128">
        <v>3583</v>
      </c>
      <c r="F56" s="5">
        <f t="shared" si="10"/>
        <v>44.787500000000001</v>
      </c>
      <c r="G56" s="4"/>
      <c r="H56" s="4"/>
      <c r="I56" s="4"/>
      <c r="J56" s="10" t="s">
        <v>65</v>
      </c>
    </row>
    <row r="57" spans="1:10" ht="20.149999999999999" customHeight="1">
      <c r="A57" s="43" t="s">
        <v>180</v>
      </c>
      <c r="B57" s="61" t="s">
        <v>74</v>
      </c>
      <c r="C57" s="121">
        <f>17758.4/100</f>
        <v>177.584</v>
      </c>
      <c r="D57" s="55">
        <f>C57/50*100</f>
        <v>355.16800000000001</v>
      </c>
      <c r="E57" s="128">
        <v>2083</v>
      </c>
      <c r="F57" s="5">
        <f>E57/5000*100</f>
        <v>41.660000000000004</v>
      </c>
      <c r="G57" s="10" t="s">
        <v>65</v>
      </c>
      <c r="H57" s="4"/>
      <c r="I57" s="4"/>
      <c r="J57" s="10" t="s">
        <v>65</v>
      </c>
    </row>
    <row r="58" spans="1:10" ht="20.149999999999999" customHeight="1">
      <c r="A58" s="43" t="s">
        <v>183</v>
      </c>
      <c r="B58" s="61" t="s">
        <v>75</v>
      </c>
      <c r="C58" s="121">
        <f>9201.3/100</f>
        <v>92.012999999999991</v>
      </c>
      <c r="D58" s="55">
        <f>C58/30*100</f>
        <v>306.70999999999992</v>
      </c>
      <c r="E58" s="128">
        <v>6714</v>
      </c>
      <c r="F58" s="5">
        <f t="shared" si="10"/>
        <v>83.925000000000011</v>
      </c>
      <c r="G58" s="4"/>
      <c r="H58" s="4"/>
      <c r="I58" s="4"/>
      <c r="J58" s="10" t="s">
        <v>65</v>
      </c>
    </row>
    <row r="59" spans="1:10" ht="20.149999999999999" customHeight="1">
      <c r="A59" s="43" t="s">
        <v>184</v>
      </c>
      <c r="B59" s="61" t="s">
        <v>76</v>
      </c>
      <c r="C59" s="121">
        <f>35474.29/100</f>
        <v>354.74290000000002</v>
      </c>
      <c r="D59" s="55">
        <f>C59/50*100</f>
        <v>709.48580000000004</v>
      </c>
      <c r="E59" s="128">
        <v>4025</v>
      </c>
      <c r="F59" s="5">
        <f>E59/5000*100</f>
        <v>80.5</v>
      </c>
      <c r="G59" s="10" t="s">
        <v>65</v>
      </c>
      <c r="H59" s="4"/>
      <c r="I59" s="4"/>
      <c r="J59" s="10" t="s">
        <v>65</v>
      </c>
    </row>
    <row r="60" spans="1:10" ht="20.149999999999999" customHeight="1">
      <c r="A60" s="37">
        <v>2</v>
      </c>
      <c r="B60" s="38" t="s">
        <v>27</v>
      </c>
      <c r="C60" s="38"/>
      <c r="D60" s="122"/>
      <c r="E60" s="38"/>
      <c r="F60" s="11"/>
      <c r="G60" s="11"/>
      <c r="H60" s="11"/>
      <c r="I60" s="11"/>
      <c r="J60" s="4"/>
    </row>
    <row r="61" spans="1:10" ht="20.149999999999999" customHeight="1">
      <c r="A61" s="43" t="s">
        <v>185</v>
      </c>
      <c r="B61" s="51" t="s">
        <v>63</v>
      </c>
      <c r="C61" s="121">
        <f>1527.25/100</f>
        <v>15.272500000000001</v>
      </c>
      <c r="D61" s="55">
        <f>C61/14*100</f>
        <v>109.08928571428571</v>
      </c>
      <c r="E61" s="128">
        <v>8654</v>
      </c>
      <c r="F61" s="5">
        <f>E61/8000*100</f>
        <v>108.175</v>
      </c>
      <c r="G61" s="4"/>
      <c r="H61" s="4"/>
      <c r="I61" s="4"/>
      <c r="J61" s="4"/>
    </row>
    <row r="62" spans="1:10" ht="20.149999999999999" customHeight="1">
      <c r="A62" s="37" t="s">
        <v>186</v>
      </c>
      <c r="B62" s="38" t="s">
        <v>187</v>
      </c>
      <c r="C62" s="59">
        <f>SUM(C64:C83)</f>
        <v>1128.7493999999999</v>
      </c>
      <c r="D62" s="59"/>
      <c r="E62" s="60">
        <f t="shared" ref="E62" si="12">SUM(E64:E83)</f>
        <v>95543</v>
      </c>
      <c r="F62" s="18"/>
      <c r="G62" s="11"/>
      <c r="H62" s="11"/>
      <c r="I62" s="11"/>
      <c r="J62" s="4"/>
    </row>
    <row r="63" spans="1:10" ht="20.149999999999999" customHeight="1">
      <c r="A63" s="37">
        <v>1</v>
      </c>
      <c r="B63" s="38" t="s">
        <v>26</v>
      </c>
      <c r="C63" s="51"/>
      <c r="D63" s="51"/>
      <c r="E63" s="51"/>
      <c r="F63" s="4"/>
      <c r="G63" s="4"/>
      <c r="H63" s="4"/>
      <c r="I63" s="4"/>
      <c r="J63" s="4"/>
    </row>
    <row r="64" spans="1:10" ht="19.5" customHeight="1">
      <c r="A64" s="43" t="s">
        <v>29</v>
      </c>
      <c r="B64" s="44" t="s">
        <v>78</v>
      </c>
      <c r="C64" s="46">
        <f>13458.89/100</f>
        <v>134.5889</v>
      </c>
      <c r="D64" s="62">
        <f>C64/30*100</f>
        <v>448.62966666666659</v>
      </c>
      <c r="E64" s="63">
        <v>7044</v>
      </c>
      <c r="F64" s="20">
        <f>E64/8000*100</f>
        <v>88.05</v>
      </c>
      <c r="G64" s="4"/>
      <c r="H64" s="4"/>
      <c r="I64" s="19"/>
      <c r="J64" s="10" t="s">
        <v>65</v>
      </c>
    </row>
    <row r="65" spans="1:10" ht="20.149999999999999" customHeight="1">
      <c r="A65" s="43" t="s">
        <v>30</v>
      </c>
      <c r="B65" s="44" t="s">
        <v>79</v>
      </c>
      <c r="C65" s="46">
        <f>18272.11/100</f>
        <v>182.72110000000001</v>
      </c>
      <c r="D65" s="62">
        <f t="shared" ref="D65:D81" si="13">C65/30*100</f>
        <v>609.07033333333334</v>
      </c>
      <c r="E65" s="63">
        <v>6413</v>
      </c>
      <c r="F65" s="20">
        <f t="shared" ref="F65:F81" si="14">E65/8000*100</f>
        <v>80.162500000000009</v>
      </c>
      <c r="G65" s="4"/>
      <c r="H65" s="4"/>
      <c r="I65" s="4"/>
      <c r="J65" s="10" t="s">
        <v>65</v>
      </c>
    </row>
    <row r="66" spans="1:10" ht="20.149999999999999" customHeight="1">
      <c r="A66" s="43" t="s">
        <v>31</v>
      </c>
      <c r="B66" s="44" t="s">
        <v>80</v>
      </c>
      <c r="C66" s="46">
        <f>7467.62/100</f>
        <v>74.676199999999994</v>
      </c>
      <c r="D66" s="62">
        <f t="shared" si="13"/>
        <v>248.92066666666665</v>
      </c>
      <c r="E66" s="63">
        <v>8550</v>
      </c>
      <c r="F66" s="20">
        <f t="shared" si="14"/>
        <v>106.87500000000001</v>
      </c>
      <c r="G66" s="4"/>
      <c r="H66" s="4"/>
      <c r="I66" s="4"/>
      <c r="J66" s="10" t="s">
        <v>65</v>
      </c>
    </row>
    <row r="67" spans="1:10" ht="20.149999999999999" customHeight="1">
      <c r="A67" s="43" t="s">
        <v>32</v>
      </c>
      <c r="B67" s="44" t="s">
        <v>81</v>
      </c>
      <c r="C67" s="46">
        <f>6048.31/100</f>
        <v>60.483100000000007</v>
      </c>
      <c r="D67" s="62">
        <f t="shared" si="13"/>
        <v>201.61033333333336</v>
      </c>
      <c r="E67" s="63">
        <v>565</v>
      </c>
      <c r="F67" s="20">
        <f t="shared" si="14"/>
        <v>7.0624999999999991</v>
      </c>
      <c r="G67" s="4"/>
      <c r="H67" s="4"/>
      <c r="I67" s="4"/>
      <c r="J67" s="10" t="s">
        <v>65</v>
      </c>
    </row>
    <row r="68" spans="1:10" ht="20.149999999999999" customHeight="1">
      <c r="A68" s="43" t="s">
        <v>33</v>
      </c>
      <c r="B68" s="44" t="s">
        <v>82</v>
      </c>
      <c r="C68" s="46">
        <f>10061.4/100</f>
        <v>100.61399999999999</v>
      </c>
      <c r="D68" s="62">
        <f>C68/50*100</f>
        <v>201.22799999999995</v>
      </c>
      <c r="E68" s="63">
        <v>1357</v>
      </c>
      <c r="F68" s="20">
        <f>E68/5000*100</f>
        <v>27.139999999999997</v>
      </c>
      <c r="G68" s="10" t="s">
        <v>65</v>
      </c>
      <c r="H68" s="4"/>
      <c r="I68" s="4"/>
      <c r="J68" s="10" t="s">
        <v>65</v>
      </c>
    </row>
    <row r="69" spans="1:10" ht="20.149999999999999" customHeight="1">
      <c r="A69" s="43" t="s">
        <v>34</v>
      </c>
      <c r="B69" s="44" t="s">
        <v>83</v>
      </c>
      <c r="C69" s="46">
        <f>4329.58/100</f>
        <v>43.2958</v>
      </c>
      <c r="D69" s="62">
        <f t="shared" si="13"/>
        <v>144.31933333333333</v>
      </c>
      <c r="E69" s="63">
        <v>4213</v>
      </c>
      <c r="F69" s="20">
        <f t="shared" si="14"/>
        <v>52.662500000000001</v>
      </c>
      <c r="G69" s="4"/>
      <c r="H69" s="4"/>
      <c r="I69" s="4"/>
      <c r="J69" s="10" t="s">
        <v>65</v>
      </c>
    </row>
    <row r="70" spans="1:10" ht="20.149999999999999" customHeight="1">
      <c r="A70" s="43" t="s">
        <v>177</v>
      </c>
      <c r="B70" s="44" t="s">
        <v>84</v>
      </c>
      <c r="C70" s="46">
        <f>2750.09/100</f>
        <v>27.500900000000001</v>
      </c>
      <c r="D70" s="62">
        <f t="shared" si="13"/>
        <v>91.669666666666672</v>
      </c>
      <c r="E70" s="63">
        <v>6201</v>
      </c>
      <c r="F70" s="20">
        <f t="shared" si="14"/>
        <v>77.512499999999989</v>
      </c>
      <c r="G70" s="4"/>
      <c r="H70" s="4"/>
      <c r="I70" s="4"/>
      <c r="J70" s="10" t="s">
        <v>65</v>
      </c>
    </row>
    <row r="71" spans="1:10" ht="20.149999999999999" customHeight="1">
      <c r="A71" s="43" t="s">
        <v>178</v>
      </c>
      <c r="B71" s="44" t="s">
        <v>85</v>
      </c>
      <c r="C71" s="46">
        <f>1765.73/100</f>
        <v>17.657299999999999</v>
      </c>
      <c r="D71" s="62">
        <f t="shared" si="13"/>
        <v>58.857666666666667</v>
      </c>
      <c r="E71" s="63">
        <v>5663</v>
      </c>
      <c r="F71" s="20">
        <f t="shared" si="14"/>
        <v>70.787500000000009</v>
      </c>
      <c r="G71" s="4"/>
      <c r="H71" s="4"/>
      <c r="I71" s="4"/>
      <c r="J71" s="10" t="s">
        <v>65</v>
      </c>
    </row>
    <row r="72" spans="1:10" ht="20.149999999999999" customHeight="1">
      <c r="A72" s="43" t="s">
        <v>179</v>
      </c>
      <c r="B72" s="44" t="s">
        <v>86</v>
      </c>
      <c r="C72" s="46">
        <f>2926.27/100</f>
        <v>29.262699999999999</v>
      </c>
      <c r="D72" s="62">
        <f t="shared" si="13"/>
        <v>97.542333333333332</v>
      </c>
      <c r="E72" s="63">
        <v>2815</v>
      </c>
      <c r="F72" s="20">
        <f t="shared" si="14"/>
        <v>35.1875</v>
      </c>
      <c r="G72" s="4"/>
      <c r="H72" s="4"/>
      <c r="I72" s="4"/>
      <c r="J72" s="10" t="s">
        <v>65</v>
      </c>
    </row>
    <row r="73" spans="1:10" ht="20.149999999999999" customHeight="1">
      <c r="A73" s="43" t="s">
        <v>180</v>
      </c>
      <c r="B73" s="44" t="s">
        <v>87</v>
      </c>
      <c r="C73" s="123">
        <f>11440.56/100</f>
        <v>114.40559999999999</v>
      </c>
      <c r="D73" s="62">
        <f t="shared" si="13"/>
        <v>381.35199999999998</v>
      </c>
      <c r="E73" s="63">
        <v>3524</v>
      </c>
      <c r="F73" s="20">
        <f t="shared" si="14"/>
        <v>44.05</v>
      </c>
      <c r="G73" s="4"/>
      <c r="H73" s="4"/>
      <c r="I73" s="4"/>
      <c r="J73" s="10" t="s">
        <v>65</v>
      </c>
    </row>
    <row r="74" spans="1:10" ht="20.149999999999999" customHeight="1">
      <c r="A74" s="43" t="s">
        <v>183</v>
      </c>
      <c r="B74" s="44" t="s">
        <v>88</v>
      </c>
      <c r="C74" s="46">
        <f>3121.05/100</f>
        <v>31.210500000000003</v>
      </c>
      <c r="D74" s="62">
        <f t="shared" si="13"/>
        <v>104.03500000000001</v>
      </c>
      <c r="E74" s="63">
        <v>8853</v>
      </c>
      <c r="F74" s="20">
        <f t="shared" si="14"/>
        <v>110.66249999999999</v>
      </c>
      <c r="G74" s="4"/>
      <c r="H74" s="4"/>
      <c r="I74" s="4"/>
      <c r="J74" s="10" t="s">
        <v>65</v>
      </c>
    </row>
    <row r="75" spans="1:10" ht="20.149999999999999" customHeight="1">
      <c r="A75" s="43" t="s">
        <v>184</v>
      </c>
      <c r="B75" s="44" t="s">
        <v>89</v>
      </c>
      <c r="C75" s="46">
        <f>4490.55/100</f>
        <v>44.905500000000004</v>
      </c>
      <c r="D75" s="62">
        <f t="shared" si="13"/>
        <v>149.685</v>
      </c>
      <c r="E75" s="63">
        <v>2738</v>
      </c>
      <c r="F75" s="20">
        <f t="shared" si="14"/>
        <v>34.225000000000001</v>
      </c>
      <c r="G75" s="4"/>
      <c r="H75" s="4"/>
      <c r="I75" s="4"/>
      <c r="J75" s="10" t="s">
        <v>65</v>
      </c>
    </row>
    <row r="76" spans="1:10" ht="20.149999999999999" customHeight="1">
      <c r="A76" s="43" t="s">
        <v>188</v>
      </c>
      <c r="B76" s="44" t="s">
        <v>90</v>
      </c>
      <c r="C76" s="46">
        <f>3780.72/100</f>
        <v>37.807199999999995</v>
      </c>
      <c r="D76" s="62">
        <f t="shared" si="13"/>
        <v>126.02399999999999</v>
      </c>
      <c r="E76" s="63">
        <v>8648</v>
      </c>
      <c r="F76" s="20">
        <f t="shared" si="14"/>
        <v>108.1</v>
      </c>
      <c r="G76" s="4"/>
      <c r="H76" s="4"/>
      <c r="I76" s="4"/>
      <c r="J76" s="10" t="s">
        <v>65</v>
      </c>
    </row>
    <row r="77" spans="1:10" ht="20.149999999999999" customHeight="1">
      <c r="A77" s="43" t="s">
        <v>189</v>
      </c>
      <c r="B77" s="44" t="s">
        <v>91</v>
      </c>
      <c r="C77" s="46">
        <f>3739.76/100</f>
        <v>37.397600000000004</v>
      </c>
      <c r="D77" s="62">
        <f t="shared" si="13"/>
        <v>124.65866666666668</v>
      </c>
      <c r="E77" s="63">
        <v>6037</v>
      </c>
      <c r="F77" s="20">
        <f t="shared" si="14"/>
        <v>75.462500000000006</v>
      </c>
      <c r="G77" s="4"/>
      <c r="H77" s="4"/>
      <c r="I77" s="4"/>
      <c r="J77" s="10" t="s">
        <v>65</v>
      </c>
    </row>
    <row r="78" spans="1:10" ht="20.149999999999999" customHeight="1">
      <c r="A78" s="43" t="s">
        <v>190</v>
      </c>
      <c r="B78" s="44" t="s">
        <v>92</v>
      </c>
      <c r="C78" s="46">
        <f>3128.08/100</f>
        <v>31.280799999999999</v>
      </c>
      <c r="D78" s="62">
        <f t="shared" si="13"/>
        <v>104.26933333333332</v>
      </c>
      <c r="E78" s="63">
        <v>4511</v>
      </c>
      <c r="F78" s="20">
        <f t="shared" si="14"/>
        <v>56.387500000000003</v>
      </c>
      <c r="G78" s="4"/>
      <c r="H78" s="4"/>
      <c r="I78" s="4"/>
      <c r="J78" s="10" t="s">
        <v>65</v>
      </c>
    </row>
    <row r="79" spans="1:10" ht="20.149999999999999" customHeight="1">
      <c r="A79" s="43" t="s">
        <v>191</v>
      </c>
      <c r="B79" s="44" t="s">
        <v>93</v>
      </c>
      <c r="C79" s="46">
        <f>10287.76/100</f>
        <v>102.8776</v>
      </c>
      <c r="D79" s="62">
        <f t="shared" si="13"/>
        <v>342.92533333333336</v>
      </c>
      <c r="E79" s="63">
        <v>3923</v>
      </c>
      <c r="F79" s="20">
        <f t="shared" si="14"/>
        <v>49.037500000000001</v>
      </c>
      <c r="G79" s="4"/>
      <c r="H79" s="4"/>
      <c r="I79" s="4"/>
      <c r="J79" s="10" t="s">
        <v>65</v>
      </c>
    </row>
    <row r="80" spans="1:10" ht="20.149999999999999" customHeight="1">
      <c r="A80" s="43" t="s">
        <v>192</v>
      </c>
      <c r="B80" s="44" t="s">
        <v>94</v>
      </c>
      <c r="C80" s="46">
        <f>2503.98/100</f>
        <v>25.0398</v>
      </c>
      <c r="D80" s="62">
        <f t="shared" si="13"/>
        <v>83.465999999999994</v>
      </c>
      <c r="E80" s="63">
        <v>3617</v>
      </c>
      <c r="F80" s="20">
        <f t="shared" si="14"/>
        <v>45.212499999999999</v>
      </c>
      <c r="G80" s="4"/>
      <c r="H80" s="4"/>
      <c r="I80" s="4"/>
      <c r="J80" s="10" t="s">
        <v>65</v>
      </c>
    </row>
    <row r="81" spans="1:10" ht="20.149999999999999" customHeight="1">
      <c r="A81" s="43" t="s">
        <v>193</v>
      </c>
      <c r="B81" s="44" t="s">
        <v>95</v>
      </c>
      <c r="C81" s="46">
        <f>2280.19/100</f>
        <v>22.8019</v>
      </c>
      <c r="D81" s="62">
        <f t="shared" si="13"/>
        <v>76.00633333333333</v>
      </c>
      <c r="E81" s="63">
        <v>3175</v>
      </c>
      <c r="F81" s="20">
        <f t="shared" si="14"/>
        <v>39.6875</v>
      </c>
      <c r="G81" s="4"/>
      <c r="H81" s="4"/>
      <c r="I81" s="4"/>
      <c r="J81" s="10" t="s">
        <v>65</v>
      </c>
    </row>
    <row r="82" spans="1:10" ht="20.149999999999999" customHeight="1">
      <c r="A82" s="37">
        <v>2</v>
      </c>
      <c r="B82" s="38" t="s">
        <v>27</v>
      </c>
      <c r="C82" s="51"/>
      <c r="D82" s="51"/>
      <c r="E82" s="51"/>
      <c r="F82" s="4"/>
      <c r="G82" s="4"/>
      <c r="H82" s="4"/>
      <c r="I82" s="4"/>
      <c r="J82" s="4"/>
    </row>
    <row r="83" spans="1:10" ht="20.149999999999999" customHeight="1">
      <c r="A83" s="43" t="s">
        <v>185</v>
      </c>
      <c r="B83" s="44" t="s">
        <v>77</v>
      </c>
      <c r="C83" s="46">
        <f>1022.29/100</f>
        <v>10.222899999999999</v>
      </c>
      <c r="D83" s="55">
        <f>C83/14*100</f>
        <v>73.020714285714277</v>
      </c>
      <c r="E83" s="63">
        <v>7696</v>
      </c>
      <c r="F83" s="5">
        <f>E83/8000*100</f>
        <v>96.2</v>
      </c>
      <c r="G83" s="4"/>
      <c r="H83" s="4"/>
      <c r="I83" s="4"/>
      <c r="J83" s="4"/>
    </row>
    <row r="84" spans="1:10" ht="20.149999999999999" customHeight="1">
      <c r="A84" s="37" t="s">
        <v>194</v>
      </c>
      <c r="B84" s="38" t="s">
        <v>195</v>
      </c>
      <c r="C84" s="59">
        <f>SUM(C86:C101)</f>
        <v>446.61129999999997</v>
      </c>
      <c r="D84" s="59"/>
      <c r="E84" s="60">
        <f t="shared" ref="E84" si="15">SUM(E86:E101)</f>
        <v>130899</v>
      </c>
      <c r="F84" s="11"/>
      <c r="G84" s="11"/>
      <c r="H84" s="11"/>
      <c r="I84" s="11"/>
      <c r="J84" s="4"/>
    </row>
    <row r="85" spans="1:10" ht="20.149999999999999" customHeight="1">
      <c r="A85" s="37">
        <v>1</v>
      </c>
      <c r="B85" s="38" t="s">
        <v>26</v>
      </c>
      <c r="C85" s="51"/>
      <c r="D85" s="51"/>
      <c r="E85" s="51"/>
      <c r="F85" s="4"/>
      <c r="G85" s="4"/>
      <c r="H85" s="4"/>
      <c r="I85" s="4"/>
      <c r="J85" s="4"/>
    </row>
    <row r="86" spans="1:10" ht="20.149999999999999" customHeight="1">
      <c r="A86" s="43" t="s">
        <v>29</v>
      </c>
      <c r="B86" s="61" t="s">
        <v>96</v>
      </c>
      <c r="C86" s="46">
        <v>113.29180000000001</v>
      </c>
      <c r="D86" s="55">
        <f>C86/30*100</f>
        <v>377.63933333333335</v>
      </c>
      <c r="E86" s="63">
        <v>7157</v>
      </c>
      <c r="F86" s="5">
        <f>E86/8000*100</f>
        <v>89.462500000000006</v>
      </c>
      <c r="G86" s="4"/>
      <c r="H86" s="4"/>
      <c r="I86" s="4"/>
      <c r="J86" s="10" t="s">
        <v>65</v>
      </c>
    </row>
    <row r="87" spans="1:10" ht="20.149999999999999" customHeight="1">
      <c r="A87" s="43" t="s">
        <v>30</v>
      </c>
      <c r="B87" s="61" t="s">
        <v>97</v>
      </c>
      <c r="C87" s="46">
        <v>37.663800000000002</v>
      </c>
      <c r="D87" s="55">
        <f t="shared" ref="D87:D101" si="16">C87/30*100</f>
        <v>125.54600000000001</v>
      </c>
      <c r="E87" s="63">
        <v>4568</v>
      </c>
      <c r="F87" s="5">
        <f t="shared" ref="F87:F101" si="17">E87/8000*100</f>
        <v>57.099999999999994</v>
      </c>
      <c r="G87" s="4"/>
      <c r="H87" s="4"/>
      <c r="I87" s="4"/>
      <c r="J87" s="10" t="s">
        <v>65</v>
      </c>
    </row>
    <row r="88" spans="1:10" ht="20.149999999999999" customHeight="1">
      <c r="A88" s="43" t="s">
        <v>31</v>
      </c>
      <c r="B88" s="61" t="s">
        <v>98</v>
      </c>
      <c r="C88" s="46">
        <v>26.4848</v>
      </c>
      <c r="D88" s="55">
        <f t="shared" si="16"/>
        <v>88.282666666666671</v>
      </c>
      <c r="E88" s="63">
        <v>7527</v>
      </c>
      <c r="F88" s="5">
        <f t="shared" si="17"/>
        <v>94.087500000000006</v>
      </c>
      <c r="G88" s="4"/>
      <c r="H88" s="4"/>
      <c r="I88" s="4"/>
      <c r="J88" s="10" t="s">
        <v>65</v>
      </c>
    </row>
    <row r="89" spans="1:10" ht="20.149999999999999" customHeight="1">
      <c r="A89" s="43" t="s">
        <v>32</v>
      </c>
      <c r="B89" s="61" t="s">
        <v>99</v>
      </c>
      <c r="C89" s="46">
        <v>19.982600000000001</v>
      </c>
      <c r="D89" s="55">
        <f t="shared" si="16"/>
        <v>66.608666666666664</v>
      </c>
      <c r="E89" s="63">
        <v>11598</v>
      </c>
      <c r="F89" s="5">
        <f t="shared" si="17"/>
        <v>144.97500000000002</v>
      </c>
      <c r="G89" s="4"/>
      <c r="H89" s="4"/>
      <c r="I89" s="4"/>
      <c r="J89" s="10" t="s">
        <v>65</v>
      </c>
    </row>
    <row r="90" spans="1:10" ht="20.149999999999999" customHeight="1">
      <c r="A90" s="43" t="s">
        <v>33</v>
      </c>
      <c r="B90" s="61" t="s">
        <v>100</v>
      </c>
      <c r="C90" s="46">
        <v>41.004600000000003</v>
      </c>
      <c r="D90" s="55">
        <f t="shared" si="16"/>
        <v>136.68200000000002</v>
      </c>
      <c r="E90" s="63">
        <v>11642</v>
      </c>
      <c r="F90" s="5">
        <f t="shared" si="17"/>
        <v>145.52500000000001</v>
      </c>
      <c r="G90" s="4"/>
      <c r="H90" s="4"/>
      <c r="I90" s="4"/>
      <c r="J90" s="10" t="s">
        <v>65</v>
      </c>
    </row>
    <row r="91" spans="1:10" ht="20.149999999999999" customHeight="1">
      <c r="A91" s="43" t="s">
        <v>34</v>
      </c>
      <c r="B91" s="61" t="s">
        <v>101</v>
      </c>
      <c r="C91" s="46">
        <v>46.341200000000001</v>
      </c>
      <c r="D91" s="55">
        <f t="shared" si="16"/>
        <v>154.47066666666666</v>
      </c>
      <c r="E91" s="63">
        <v>4241</v>
      </c>
      <c r="F91" s="5">
        <f t="shared" si="17"/>
        <v>53.012499999999996</v>
      </c>
      <c r="G91" s="4"/>
      <c r="H91" s="4"/>
      <c r="I91" s="4"/>
      <c r="J91" s="10" t="s">
        <v>65</v>
      </c>
    </row>
    <row r="92" spans="1:10" ht="20.149999999999999" customHeight="1">
      <c r="A92" s="43" t="s">
        <v>177</v>
      </c>
      <c r="B92" s="61" t="s">
        <v>102</v>
      </c>
      <c r="C92" s="46">
        <v>39.271000000000001</v>
      </c>
      <c r="D92" s="55">
        <f t="shared" si="16"/>
        <v>130.90333333333334</v>
      </c>
      <c r="E92" s="63">
        <v>7467</v>
      </c>
      <c r="F92" s="5">
        <f t="shared" si="17"/>
        <v>93.337499999999991</v>
      </c>
      <c r="G92" s="4"/>
      <c r="H92" s="4"/>
      <c r="I92" s="4"/>
      <c r="J92" s="10" t="s">
        <v>65</v>
      </c>
    </row>
    <row r="93" spans="1:10" ht="20.149999999999999" customHeight="1">
      <c r="A93" s="43" t="s">
        <v>178</v>
      </c>
      <c r="B93" s="61" t="s">
        <v>103</v>
      </c>
      <c r="C93" s="46">
        <v>10.109</v>
      </c>
      <c r="D93" s="55">
        <f t="shared" si="16"/>
        <v>33.696666666666673</v>
      </c>
      <c r="E93" s="63">
        <v>8420</v>
      </c>
      <c r="F93" s="5">
        <f t="shared" si="17"/>
        <v>105.25</v>
      </c>
      <c r="G93" s="4"/>
      <c r="H93" s="4"/>
      <c r="I93" s="4"/>
      <c r="J93" s="10" t="s">
        <v>65</v>
      </c>
    </row>
    <row r="94" spans="1:10" ht="20.149999999999999" customHeight="1">
      <c r="A94" s="43" t="s">
        <v>179</v>
      </c>
      <c r="B94" s="61" t="s">
        <v>104</v>
      </c>
      <c r="C94" s="46">
        <v>1.5619000000000001</v>
      </c>
      <c r="D94" s="55">
        <f t="shared" si="16"/>
        <v>5.2063333333333333</v>
      </c>
      <c r="E94" s="63">
        <v>9839</v>
      </c>
      <c r="F94" s="5">
        <f t="shared" si="17"/>
        <v>122.98750000000001</v>
      </c>
      <c r="G94" s="4"/>
      <c r="H94" s="4"/>
      <c r="I94" s="4"/>
      <c r="J94" s="10" t="s">
        <v>65</v>
      </c>
    </row>
    <row r="95" spans="1:10" ht="20.149999999999999" customHeight="1">
      <c r="A95" s="43" t="s">
        <v>180</v>
      </c>
      <c r="B95" s="61" t="s">
        <v>105</v>
      </c>
      <c r="C95" s="46">
        <v>13.215299999999999</v>
      </c>
      <c r="D95" s="55">
        <f t="shared" si="16"/>
        <v>44.050999999999995</v>
      </c>
      <c r="E95" s="63">
        <v>4623</v>
      </c>
      <c r="F95" s="5">
        <f t="shared" si="17"/>
        <v>57.787500000000001</v>
      </c>
      <c r="G95" s="4"/>
      <c r="H95" s="4"/>
      <c r="I95" s="4"/>
      <c r="J95" s="10" t="s">
        <v>65</v>
      </c>
    </row>
    <row r="96" spans="1:10" ht="20.149999999999999" customHeight="1">
      <c r="A96" s="43" t="s">
        <v>183</v>
      </c>
      <c r="B96" s="61" t="s">
        <v>106</v>
      </c>
      <c r="C96" s="46">
        <v>21.0121</v>
      </c>
      <c r="D96" s="55">
        <f t="shared" si="16"/>
        <v>70.040333333333336</v>
      </c>
      <c r="E96" s="63">
        <v>9719</v>
      </c>
      <c r="F96" s="5">
        <f t="shared" si="17"/>
        <v>121.4875</v>
      </c>
      <c r="G96" s="4"/>
      <c r="H96" s="4"/>
      <c r="I96" s="4"/>
      <c r="J96" s="10" t="s">
        <v>65</v>
      </c>
    </row>
    <row r="97" spans="1:10" ht="20.149999999999999" customHeight="1">
      <c r="A97" s="43" t="s">
        <v>184</v>
      </c>
      <c r="B97" s="61" t="s">
        <v>107</v>
      </c>
      <c r="C97" s="46">
        <v>11.656400000000001</v>
      </c>
      <c r="D97" s="55">
        <f t="shared" si="16"/>
        <v>38.854666666666674</v>
      </c>
      <c r="E97" s="63">
        <v>11898</v>
      </c>
      <c r="F97" s="5">
        <f t="shared" si="17"/>
        <v>148.72499999999999</v>
      </c>
      <c r="G97" s="4"/>
      <c r="H97" s="4"/>
      <c r="I97" s="4"/>
      <c r="J97" s="10" t="s">
        <v>65</v>
      </c>
    </row>
    <row r="98" spans="1:10" ht="20.149999999999999" customHeight="1">
      <c r="A98" s="43" t="s">
        <v>188</v>
      </c>
      <c r="B98" s="61" t="s">
        <v>108</v>
      </c>
      <c r="C98" s="46">
        <v>25.847399999999997</v>
      </c>
      <c r="D98" s="55">
        <f t="shared" si="16"/>
        <v>86.157999999999987</v>
      </c>
      <c r="E98" s="63">
        <v>8103</v>
      </c>
      <c r="F98" s="5">
        <f t="shared" si="17"/>
        <v>101.28749999999999</v>
      </c>
      <c r="G98" s="4"/>
      <c r="H98" s="4"/>
      <c r="I98" s="4"/>
      <c r="J98" s="10" t="s">
        <v>65</v>
      </c>
    </row>
    <row r="99" spans="1:10" ht="20.149999999999999" customHeight="1">
      <c r="A99" s="43" t="s">
        <v>189</v>
      </c>
      <c r="B99" s="61" t="s">
        <v>109</v>
      </c>
      <c r="C99" s="46">
        <v>23.9711</v>
      </c>
      <c r="D99" s="55">
        <f t="shared" si="16"/>
        <v>79.903666666666666</v>
      </c>
      <c r="E99" s="63">
        <v>9805</v>
      </c>
      <c r="F99" s="5">
        <f t="shared" si="17"/>
        <v>122.5625</v>
      </c>
      <c r="G99" s="4"/>
      <c r="H99" s="4"/>
      <c r="I99" s="4"/>
      <c r="J99" s="10" t="s">
        <v>65</v>
      </c>
    </row>
    <row r="100" spans="1:10" ht="20.149999999999999" customHeight="1">
      <c r="A100" s="43" t="s">
        <v>190</v>
      </c>
      <c r="B100" s="44" t="s">
        <v>110</v>
      </c>
      <c r="C100" s="46">
        <v>11.3874</v>
      </c>
      <c r="D100" s="55">
        <f t="shared" si="16"/>
        <v>37.957999999999998</v>
      </c>
      <c r="E100" s="63">
        <v>9330</v>
      </c>
      <c r="F100" s="5">
        <f t="shared" si="17"/>
        <v>116.625</v>
      </c>
      <c r="G100" s="4"/>
      <c r="H100" s="4"/>
      <c r="I100" s="4"/>
      <c r="J100" s="10" t="s">
        <v>65</v>
      </c>
    </row>
    <row r="101" spans="1:10" ht="20.149999999999999" customHeight="1">
      <c r="A101" s="43" t="s">
        <v>191</v>
      </c>
      <c r="B101" s="61" t="s">
        <v>111</v>
      </c>
      <c r="C101" s="46">
        <v>3.8108999999999997</v>
      </c>
      <c r="D101" s="55">
        <f t="shared" si="16"/>
        <v>12.703000000000001</v>
      </c>
      <c r="E101" s="63">
        <v>4962</v>
      </c>
      <c r="F101" s="5">
        <f t="shared" si="17"/>
        <v>62.024999999999999</v>
      </c>
      <c r="G101" s="4"/>
      <c r="H101" s="4"/>
      <c r="I101" s="4"/>
      <c r="J101" s="10" t="s">
        <v>65</v>
      </c>
    </row>
    <row r="102" spans="1:10" ht="20.149999999999999" customHeight="1">
      <c r="A102" s="37">
        <v>2</v>
      </c>
      <c r="B102" s="38" t="s">
        <v>27</v>
      </c>
      <c r="C102" s="51"/>
      <c r="D102" s="51"/>
      <c r="E102" s="51"/>
      <c r="F102" s="4"/>
      <c r="G102" s="4"/>
      <c r="H102" s="4"/>
      <c r="I102" s="4"/>
      <c r="J102" s="4"/>
    </row>
    <row r="103" spans="1:10" ht="20.149999999999999" customHeight="1">
      <c r="A103" s="37" t="s">
        <v>196</v>
      </c>
      <c r="B103" s="38" t="s">
        <v>197</v>
      </c>
      <c r="C103" s="59">
        <f>SUM(C105:C131)</f>
        <v>2115.4910999999997</v>
      </c>
      <c r="D103" s="59"/>
      <c r="E103" s="60">
        <f t="shared" ref="E103" si="18">SUM(E105:E131)</f>
        <v>223282</v>
      </c>
      <c r="F103" s="11"/>
      <c r="G103" s="11"/>
      <c r="H103" s="11"/>
      <c r="I103" s="11"/>
      <c r="J103" s="4"/>
    </row>
    <row r="104" spans="1:10" ht="20.149999999999999" customHeight="1">
      <c r="A104" s="37">
        <v>1</v>
      </c>
      <c r="B104" s="38" t="s">
        <v>26</v>
      </c>
      <c r="C104" s="51"/>
      <c r="D104" s="51"/>
      <c r="E104" s="63"/>
      <c r="F104" s="4"/>
      <c r="G104" s="4"/>
      <c r="H104" s="4"/>
      <c r="I104" s="4"/>
      <c r="J104" s="4"/>
    </row>
    <row r="105" spans="1:10" ht="20.149999999999999" customHeight="1">
      <c r="A105" s="43" t="s">
        <v>29</v>
      </c>
      <c r="B105" s="44" t="s">
        <v>115</v>
      </c>
      <c r="C105" s="46">
        <f>17258.4/100</f>
        <v>172.584</v>
      </c>
      <c r="D105" s="62">
        <f>C105/30*100</f>
        <v>575.28</v>
      </c>
      <c r="E105" s="63">
        <v>6745</v>
      </c>
      <c r="F105" s="20">
        <f>E105/8000*100</f>
        <v>84.3125</v>
      </c>
      <c r="G105" s="4"/>
      <c r="H105" s="4"/>
      <c r="I105" s="4"/>
      <c r="J105" s="10" t="s">
        <v>65</v>
      </c>
    </row>
    <row r="106" spans="1:10" ht="20.149999999999999" customHeight="1">
      <c r="A106" s="43" t="s">
        <v>30</v>
      </c>
      <c r="B106" s="44" t="s">
        <v>116</v>
      </c>
      <c r="C106" s="46">
        <f>74151.83/100</f>
        <v>741.51830000000007</v>
      </c>
      <c r="D106" s="62">
        <f>C106/50*100</f>
        <v>1483.0366000000001</v>
      </c>
      <c r="E106" s="63">
        <v>3248</v>
      </c>
      <c r="F106" s="20">
        <f>E106/5000*100</f>
        <v>64.959999999999994</v>
      </c>
      <c r="G106" s="10" t="s">
        <v>65</v>
      </c>
      <c r="H106" s="4"/>
      <c r="I106" s="19"/>
      <c r="J106" s="10" t="s">
        <v>65</v>
      </c>
    </row>
    <row r="107" spans="1:10" ht="20.149999999999999" customHeight="1">
      <c r="A107" s="43" t="s">
        <v>31</v>
      </c>
      <c r="B107" s="44" t="s">
        <v>117</v>
      </c>
      <c r="C107" s="46">
        <f>5851.88/100</f>
        <v>58.518799999999999</v>
      </c>
      <c r="D107" s="62">
        <f>C107/30*100</f>
        <v>195.06266666666667</v>
      </c>
      <c r="E107" s="63">
        <v>13988</v>
      </c>
      <c r="F107" s="20">
        <f t="shared" ref="F107:F127" si="19">E107/8000*100</f>
        <v>174.85</v>
      </c>
      <c r="G107" s="4"/>
      <c r="H107" s="4"/>
      <c r="I107" s="4"/>
      <c r="J107" s="10" t="s">
        <v>65</v>
      </c>
    </row>
    <row r="108" spans="1:10" ht="20.149999999999999" customHeight="1">
      <c r="A108" s="43" t="s">
        <v>32</v>
      </c>
      <c r="B108" s="44" t="s">
        <v>118</v>
      </c>
      <c r="C108" s="46">
        <f>9301.36/100</f>
        <v>93.013600000000011</v>
      </c>
      <c r="D108" s="62">
        <f t="shared" ref="D108:D127" si="20">C108/30*100</f>
        <v>310.04533333333336</v>
      </c>
      <c r="E108" s="63">
        <v>13745</v>
      </c>
      <c r="F108" s="20">
        <f t="shared" si="19"/>
        <v>171.8125</v>
      </c>
      <c r="G108" s="4"/>
      <c r="H108" s="4"/>
      <c r="I108" s="4"/>
      <c r="J108" s="10" t="s">
        <v>65</v>
      </c>
    </row>
    <row r="109" spans="1:10" ht="20.149999999999999" customHeight="1">
      <c r="A109" s="43" t="s">
        <v>33</v>
      </c>
      <c r="B109" s="44" t="s">
        <v>119</v>
      </c>
      <c r="C109" s="46">
        <f>2379.63/100</f>
        <v>23.796300000000002</v>
      </c>
      <c r="D109" s="62">
        <f t="shared" si="20"/>
        <v>79.321000000000012</v>
      </c>
      <c r="E109" s="63">
        <v>15331</v>
      </c>
      <c r="F109" s="20">
        <f t="shared" si="19"/>
        <v>191.63749999999999</v>
      </c>
      <c r="G109" s="4"/>
      <c r="H109" s="4"/>
      <c r="I109" s="4"/>
      <c r="J109" s="10" t="s">
        <v>65</v>
      </c>
    </row>
    <row r="110" spans="1:10" ht="20.149999999999999" customHeight="1">
      <c r="A110" s="43" t="s">
        <v>34</v>
      </c>
      <c r="B110" s="44" t="s">
        <v>120</v>
      </c>
      <c r="C110" s="46">
        <f>1459.51/100</f>
        <v>14.5951</v>
      </c>
      <c r="D110" s="62">
        <f t="shared" si="20"/>
        <v>48.650333333333336</v>
      </c>
      <c r="E110" s="63">
        <v>15629</v>
      </c>
      <c r="F110" s="20">
        <f t="shared" si="19"/>
        <v>195.36249999999998</v>
      </c>
      <c r="G110" s="4"/>
      <c r="H110" s="4"/>
      <c r="I110" s="4"/>
      <c r="J110" s="10" t="s">
        <v>65</v>
      </c>
    </row>
    <row r="111" spans="1:10" ht="20.149999999999999" customHeight="1">
      <c r="A111" s="43" t="s">
        <v>177</v>
      </c>
      <c r="B111" s="44" t="s">
        <v>121</v>
      </c>
      <c r="C111" s="46">
        <f>35425.71/100</f>
        <v>354.25709999999998</v>
      </c>
      <c r="D111" s="62">
        <f>C111/50*100</f>
        <v>708.51419999999996</v>
      </c>
      <c r="E111" s="63">
        <v>367</v>
      </c>
      <c r="F111" s="20">
        <f>E111/5000*100</f>
        <v>7.3400000000000007</v>
      </c>
      <c r="G111" s="10" t="s">
        <v>65</v>
      </c>
      <c r="H111" s="4"/>
      <c r="I111" s="4"/>
      <c r="J111" s="10" t="s">
        <v>65</v>
      </c>
    </row>
    <row r="112" spans="1:10" ht="20.149999999999999" customHeight="1">
      <c r="A112" s="43" t="s">
        <v>178</v>
      </c>
      <c r="B112" s="44" t="s">
        <v>122</v>
      </c>
      <c r="C112" s="46">
        <f>14636.7/100</f>
        <v>146.36700000000002</v>
      </c>
      <c r="D112" s="62">
        <f t="shared" si="20"/>
        <v>487.89000000000004</v>
      </c>
      <c r="E112" s="63">
        <v>3194</v>
      </c>
      <c r="F112" s="20">
        <f t="shared" si="19"/>
        <v>39.924999999999997</v>
      </c>
      <c r="G112" s="4"/>
      <c r="H112" s="4"/>
      <c r="I112" s="4"/>
      <c r="J112" s="10" t="s">
        <v>65</v>
      </c>
    </row>
    <row r="113" spans="1:10" ht="20.149999999999999" customHeight="1">
      <c r="A113" s="43" t="s">
        <v>179</v>
      </c>
      <c r="B113" s="44" t="s">
        <v>123</v>
      </c>
      <c r="C113" s="46">
        <f>2817.33/100</f>
        <v>28.173299999999998</v>
      </c>
      <c r="D113" s="62">
        <f t="shared" si="20"/>
        <v>93.910999999999987</v>
      </c>
      <c r="E113" s="63">
        <v>5887</v>
      </c>
      <c r="F113" s="20">
        <f t="shared" si="19"/>
        <v>73.587499999999991</v>
      </c>
      <c r="G113" s="4"/>
      <c r="H113" s="4"/>
      <c r="I113" s="4"/>
      <c r="J113" s="10" t="s">
        <v>65</v>
      </c>
    </row>
    <row r="114" spans="1:10" ht="20.149999999999999" customHeight="1">
      <c r="A114" s="43" t="s">
        <v>180</v>
      </c>
      <c r="B114" s="44" t="s">
        <v>124</v>
      </c>
      <c r="C114" s="46">
        <f>2751.91/100</f>
        <v>27.519099999999998</v>
      </c>
      <c r="D114" s="62">
        <f t="shared" si="20"/>
        <v>91.73033333333332</v>
      </c>
      <c r="E114" s="63">
        <v>4552</v>
      </c>
      <c r="F114" s="20">
        <f t="shared" si="19"/>
        <v>56.899999999999991</v>
      </c>
      <c r="G114" s="4"/>
      <c r="H114" s="4"/>
      <c r="I114" s="4"/>
      <c r="J114" s="10" t="s">
        <v>65</v>
      </c>
    </row>
    <row r="115" spans="1:10" ht="20.149999999999999" customHeight="1">
      <c r="A115" s="43" t="s">
        <v>183</v>
      </c>
      <c r="B115" s="44" t="s">
        <v>125</v>
      </c>
      <c r="C115" s="46">
        <f>2503.48/100</f>
        <v>25.034800000000001</v>
      </c>
      <c r="D115" s="62">
        <f t="shared" si="20"/>
        <v>83.449333333333328</v>
      </c>
      <c r="E115" s="63">
        <v>10549</v>
      </c>
      <c r="F115" s="20">
        <f t="shared" si="19"/>
        <v>131.86249999999998</v>
      </c>
      <c r="G115" s="4"/>
      <c r="H115" s="4"/>
      <c r="I115" s="4"/>
      <c r="J115" s="10" t="s">
        <v>65</v>
      </c>
    </row>
    <row r="116" spans="1:10" ht="20.149999999999999" customHeight="1">
      <c r="A116" s="43" t="s">
        <v>184</v>
      </c>
      <c r="B116" s="44" t="s">
        <v>126</v>
      </c>
      <c r="C116" s="46">
        <f>248.23/100</f>
        <v>2.4823</v>
      </c>
      <c r="D116" s="62">
        <f t="shared" si="20"/>
        <v>8.2743333333333329</v>
      </c>
      <c r="E116" s="63">
        <v>11300</v>
      </c>
      <c r="F116" s="20">
        <f t="shared" si="19"/>
        <v>141.25</v>
      </c>
      <c r="G116" s="4"/>
      <c r="H116" s="4"/>
      <c r="I116" s="4"/>
      <c r="J116" s="10" t="s">
        <v>65</v>
      </c>
    </row>
    <row r="117" spans="1:10" ht="20.149999999999999" customHeight="1">
      <c r="A117" s="43" t="s">
        <v>188</v>
      </c>
      <c r="B117" s="44" t="s">
        <v>127</v>
      </c>
      <c r="C117" s="46">
        <f>271.67/100</f>
        <v>2.7167000000000003</v>
      </c>
      <c r="D117" s="62">
        <f t="shared" si="20"/>
        <v>9.0556666666666672</v>
      </c>
      <c r="E117" s="63">
        <v>9103</v>
      </c>
      <c r="F117" s="20">
        <f t="shared" si="19"/>
        <v>113.78749999999999</v>
      </c>
      <c r="G117" s="4"/>
      <c r="H117" s="4"/>
      <c r="I117" s="4"/>
      <c r="J117" s="10" t="s">
        <v>65</v>
      </c>
    </row>
    <row r="118" spans="1:10" ht="20.149999999999999" customHeight="1">
      <c r="A118" s="43" t="s">
        <v>189</v>
      </c>
      <c r="B118" s="44" t="s">
        <v>128</v>
      </c>
      <c r="C118" s="46">
        <f>1782.1/100</f>
        <v>17.820999999999998</v>
      </c>
      <c r="D118" s="62">
        <f t="shared" si="20"/>
        <v>59.403333333333329</v>
      </c>
      <c r="E118" s="63">
        <v>7972</v>
      </c>
      <c r="F118" s="20">
        <f t="shared" si="19"/>
        <v>99.65</v>
      </c>
      <c r="G118" s="4"/>
      <c r="H118" s="4"/>
      <c r="I118" s="4"/>
      <c r="J118" s="10" t="s">
        <v>65</v>
      </c>
    </row>
    <row r="119" spans="1:10" ht="20.149999999999999" customHeight="1">
      <c r="A119" s="43" t="s">
        <v>190</v>
      </c>
      <c r="B119" s="44" t="s">
        <v>129</v>
      </c>
      <c r="C119" s="46">
        <f>2830.52/100</f>
        <v>28.305199999999999</v>
      </c>
      <c r="D119" s="62">
        <f t="shared" si="20"/>
        <v>94.350666666666655</v>
      </c>
      <c r="E119" s="63">
        <v>4519</v>
      </c>
      <c r="F119" s="20">
        <f t="shared" si="19"/>
        <v>56.487500000000004</v>
      </c>
      <c r="G119" s="4"/>
      <c r="H119" s="4"/>
      <c r="I119" s="4"/>
      <c r="J119" s="10" t="s">
        <v>65</v>
      </c>
    </row>
    <row r="120" spans="1:10" ht="20.149999999999999" customHeight="1">
      <c r="A120" s="43" t="s">
        <v>191</v>
      </c>
      <c r="B120" s="44" t="s">
        <v>130</v>
      </c>
      <c r="C120" s="46">
        <f>3220.46/100</f>
        <v>32.204599999999999</v>
      </c>
      <c r="D120" s="62">
        <f t="shared" si="20"/>
        <v>107.34866666666667</v>
      </c>
      <c r="E120" s="63">
        <v>8591</v>
      </c>
      <c r="F120" s="20">
        <f t="shared" si="19"/>
        <v>107.38749999999999</v>
      </c>
      <c r="G120" s="4"/>
      <c r="H120" s="4"/>
      <c r="I120" s="4"/>
      <c r="J120" s="10" t="s">
        <v>65</v>
      </c>
    </row>
    <row r="121" spans="1:10" ht="20.149999999999999" customHeight="1">
      <c r="A121" s="43" t="s">
        <v>192</v>
      </c>
      <c r="B121" s="44" t="s">
        <v>131</v>
      </c>
      <c r="C121" s="46">
        <f>2783.61/100</f>
        <v>27.836100000000002</v>
      </c>
      <c r="D121" s="62">
        <f t="shared" si="20"/>
        <v>92.787000000000006</v>
      </c>
      <c r="E121" s="63">
        <v>7700</v>
      </c>
      <c r="F121" s="20">
        <f t="shared" si="19"/>
        <v>96.25</v>
      </c>
      <c r="G121" s="4"/>
      <c r="H121" s="4"/>
      <c r="I121" s="4"/>
      <c r="J121" s="10" t="s">
        <v>65</v>
      </c>
    </row>
    <row r="122" spans="1:10" ht="20.149999999999999" customHeight="1">
      <c r="A122" s="43" t="s">
        <v>193</v>
      </c>
      <c r="B122" s="44" t="s">
        <v>132</v>
      </c>
      <c r="C122" s="46">
        <f>621.26/100</f>
        <v>6.2126000000000001</v>
      </c>
      <c r="D122" s="62">
        <f t="shared" si="20"/>
        <v>20.708666666666666</v>
      </c>
      <c r="E122" s="63">
        <v>6607</v>
      </c>
      <c r="F122" s="20">
        <f t="shared" si="19"/>
        <v>82.587500000000006</v>
      </c>
      <c r="G122" s="4"/>
      <c r="H122" s="4"/>
      <c r="I122" s="4"/>
      <c r="J122" s="10" t="s">
        <v>65</v>
      </c>
    </row>
    <row r="123" spans="1:10" ht="20.149999999999999" customHeight="1">
      <c r="A123" s="43" t="s">
        <v>198</v>
      </c>
      <c r="B123" s="44" t="s">
        <v>133</v>
      </c>
      <c r="C123" s="46">
        <f>2768.3/100</f>
        <v>27.683000000000003</v>
      </c>
      <c r="D123" s="62">
        <f t="shared" si="20"/>
        <v>92.276666666666671</v>
      </c>
      <c r="E123" s="63">
        <v>9039</v>
      </c>
      <c r="F123" s="20">
        <f t="shared" si="19"/>
        <v>112.9875</v>
      </c>
      <c r="G123" s="4"/>
      <c r="H123" s="4"/>
      <c r="I123" s="4"/>
      <c r="J123" s="10" t="s">
        <v>65</v>
      </c>
    </row>
    <row r="124" spans="1:10" ht="20.149999999999999" customHeight="1">
      <c r="A124" s="43" t="s">
        <v>199</v>
      </c>
      <c r="B124" s="44" t="s">
        <v>134</v>
      </c>
      <c r="C124" s="46">
        <f>1064.61/100</f>
        <v>10.646099999999999</v>
      </c>
      <c r="D124" s="62">
        <f t="shared" si="20"/>
        <v>35.486999999999995</v>
      </c>
      <c r="E124" s="63">
        <v>6775</v>
      </c>
      <c r="F124" s="20">
        <f t="shared" si="19"/>
        <v>84.6875</v>
      </c>
      <c r="G124" s="4"/>
      <c r="H124" s="4"/>
      <c r="I124" s="4"/>
      <c r="J124" s="10" t="s">
        <v>65</v>
      </c>
    </row>
    <row r="125" spans="1:10" ht="20.149999999999999" customHeight="1">
      <c r="A125" s="43" t="s">
        <v>200</v>
      </c>
      <c r="B125" s="44" t="s">
        <v>135</v>
      </c>
      <c r="C125" s="46">
        <f>1220/100</f>
        <v>12.2</v>
      </c>
      <c r="D125" s="62">
        <f t="shared" si="20"/>
        <v>40.666666666666664</v>
      </c>
      <c r="E125" s="63">
        <v>2835</v>
      </c>
      <c r="F125" s="20">
        <f t="shared" si="19"/>
        <v>35.4375</v>
      </c>
      <c r="G125" s="4"/>
      <c r="H125" s="4"/>
      <c r="I125" s="4"/>
      <c r="J125" s="10" t="s">
        <v>65</v>
      </c>
    </row>
    <row r="126" spans="1:10" ht="20.149999999999999" customHeight="1">
      <c r="A126" s="43" t="s">
        <v>201</v>
      </c>
      <c r="B126" s="44" t="s">
        <v>136</v>
      </c>
      <c r="C126" s="46">
        <f>2212.31/100</f>
        <v>22.123100000000001</v>
      </c>
      <c r="D126" s="62">
        <f t="shared" si="20"/>
        <v>73.74366666666667</v>
      </c>
      <c r="E126" s="63">
        <v>5287</v>
      </c>
      <c r="F126" s="20">
        <f t="shared" si="19"/>
        <v>66.087500000000006</v>
      </c>
      <c r="G126" s="4"/>
      <c r="H126" s="4"/>
      <c r="I126" s="4"/>
      <c r="J126" s="10" t="s">
        <v>65</v>
      </c>
    </row>
    <row r="127" spans="1:10" ht="20.149999999999999" customHeight="1">
      <c r="A127" s="43" t="s">
        <v>202</v>
      </c>
      <c r="B127" s="44" t="s">
        <v>137</v>
      </c>
      <c r="C127" s="124">
        <f>4147.84/100</f>
        <v>41.478400000000001</v>
      </c>
      <c r="D127" s="62">
        <f t="shared" si="20"/>
        <v>138.26133333333331</v>
      </c>
      <c r="E127" s="63">
        <v>9611</v>
      </c>
      <c r="F127" s="20">
        <f t="shared" si="19"/>
        <v>120.1375</v>
      </c>
      <c r="G127" s="4"/>
      <c r="H127" s="4"/>
      <c r="I127" s="4"/>
      <c r="J127" s="10" t="s">
        <v>65</v>
      </c>
    </row>
    <row r="128" spans="1:10" ht="20.149999999999999" customHeight="1">
      <c r="A128" s="37">
        <v>2</v>
      </c>
      <c r="B128" s="38" t="s">
        <v>27</v>
      </c>
      <c r="C128" s="51"/>
      <c r="D128" s="51"/>
      <c r="E128" s="63"/>
      <c r="F128" s="4"/>
      <c r="G128" s="4"/>
      <c r="H128" s="4"/>
      <c r="I128" s="4"/>
      <c r="J128" s="4"/>
    </row>
    <row r="129" spans="1:10" ht="20.149999999999999" customHeight="1">
      <c r="A129" s="43" t="s">
        <v>185</v>
      </c>
      <c r="B129" s="44" t="s">
        <v>112</v>
      </c>
      <c r="C129" s="46">
        <f>8587.02/100</f>
        <v>85.870200000000011</v>
      </c>
      <c r="D129" s="55">
        <f>C129/14*100</f>
        <v>613.35857142857151</v>
      </c>
      <c r="E129" s="63">
        <v>11683</v>
      </c>
      <c r="F129" s="5">
        <f>E129/8000*100</f>
        <v>146.03749999999999</v>
      </c>
      <c r="G129" s="4"/>
      <c r="H129" s="4"/>
      <c r="I129" s="4"/>
      <c r="J129" s="10" t="s">
        <v>65</v>
      </c>
    </row>
    <row r="130" spans="1:10" ht="20.149999999999999" customHeight="1">
      <c r="A130" s="43" t="s">
        <v>203</v>
      </c>
      <c r="B130" s="44" t="s">
        <v>113</v>
      </c>
      <c r="C130" s="46">
        <f>1305.88/100</f>
        <v>13.058800000000002</v>
      </c>
      <c r="D130" s="55">
        <f t="shared" ref="D130:D131" si="21">C130/14*100</f>
        <v>93.277142857142863</v>
      </c>
      <c r="E130" s="63">
        <v>15056</v>
      </c>
      <c r="F130" s="5">
        <f t="shared" ref="F130:F131" si="22">E130/8000*100</f>
        <v>188.2</v>
      </c>
      <c r="G130" s="4"/>
      <c r="H130" s="4"/>
      <c r="I130" s="4"/>
      <c r="J130" s="10" t="s">
        <v>65</v>
      </c>
    </row>
    <row r="131" spans="1:10" ht="20.149999999999999" customHeight="1">
      <c r="A131" s="43" t="s">
        <v>204</v>
      </c>
      <c r="B131" s="44" t="s">
        <v>114</v>
      </c>
      <c r="C131" s="46">
        <f>9947.56/100</f>
        <v>99.4756</v>
      </c>
      <c r="D131" s="55">
        <f t="shared" si="21"/>
        <v>710.54000000000008</v>
      </c>
      <c r="E131" s="63">
        <v>13969</v>
      </c>
      <c r="F131" s="5">
        <f t="shared" si="22"/>
        <v>174.61249999999998</v>
      </c>
      <c r="G131" s="4"/>
      <c r="H131" s="4"/>
      <c r="I131" s="4"/>
      <c r="J131" s="10" t="s">
        <v>65</v>
      </c>
    </row>
    <row r="132" spans="1:10" ht="20.149999999999999" customHeight="1">
      <c r="A132" s="37" t="s">
        <v>205</v>
      </c>
      <c r="B132" s="38" t="s">
        <v>206</v>
      </c>
      <c r="C132" s="59">
        <f>SUM(C134:C148)</f>
        <v>1194.1792</v>
      </c>
      <c r="D132" s="59"/>
      <c r="E132" s="60">
        <f t="shared" ref="E132" si="23">SUM(E134:E148)</f>
        <v>110406</v>
      </c>
      <c r="F132" s="11"/>
      <c r="G132" s="11"/>
      <c r="H132" s="11"/>
      <c r="I132" s="11"/>
      <c r="J132" s="4"/>
    </row>
    <row r="133" spans="1:10" ht="20.149999999999999" customHeight="1">
      <c r="A133" s="37">
        <v>1</v>
      </c>
      <c r="B133" s="38" t="s">
        <v>26</v>
      </c>
      <c r="C133" s="51"/>
      <c r="D133" s="51"/>
      <c r="E133" s="51"/>
      <c r="F133" s="4"/>
      <c r="G133" s="4"/>
      <c r="H133" s="4"/>
      <c r="I133" s="4"/>
      <c r="J133" s="4"/>
    </row>
    <row r="134" spans="1:10" ht="20.149999999999999" customHeight="1">
      <c r="A134" s="43" t="s">
        <v>29</v>
      </c>
      <c r="B134" s="64" t="s">
        <v>138</v>
      </c>
      <c r="C134" s="65">
        <f>4976.25/100</f>
        <v>49.762500000000003</v>
      </c>
      <c r="D134" s="62">
        <f>C134/30*100</f>
        <v>165.87500000000003</v>
      </c>
      <c r="E134" s="63">
        <v>7818</v>
      </c>
      <c r="F134" s="20">
        <f>E134/8000*100</f>
        <v>97.724999999999994</v>
      </c>
      <c r="G134" s="4"/>
      <c r="H134" s="4"/>
      <c r="I134" s="4"/>
      <c r="J134" s="10" t="s">
        <v>65</v>
      </c>
    </row>
    <row r="135" spans="1:10" ht="20.149999999999999" customHeight="1">
      <c r="A135" s="43" t="s">
        <v>30</v>
      </c>
      <c r="B135" s="64" t="s">
        <v>139</v>
      </c>
      <c r="C135" s="65">
        <f>2170.73/100</f>
        <v>21.7073</v>
      </c>
      <c r="D135" s="62">
        <f t="shared" ref="D135:D145" si="24">C135/30*100</f>
        <v>72.35766666666666</v>
      </c>
      <c r="E135" s="63">
        <v>10487</v>
      </c>
      <c r="F135" s="20">
        <f t="shared" ref="F135:F148" si="25">E135/8000*100</f>
        <v>131.08750000000001</v>
      </c>
      <c r="G135" s="4"/>
      <c r="H135" s="4"/>
      <c r="I135" s="4"/>
      <c r="J135" s="10" t="s">
        <v>65</v>
      </c>
    </row>
    <row r="136" spans="1:10" ht="20.149999999999999" customHeight="1">
      <c r="A136" s="43" t="s">
        <v>31</v>
      </c>
      <c r="B136" s="64" t="s">
        <v>140</v>
      </c>
      <c r="C136" s="65">
        <f>2851.78/100</f>
        <v>28.517800000000001</v>
      </c>
      <c r="D136" s="62">
        <f t="shared" si="24"/>
        <v>95.059333333333342</v>
      </c>
      <c r="E136" s="63">
        <v>8998</v>
      </c>
      <c r="F136" s="20">
        <f t="shared" si="25"/>
        <v>112.47499999999999</v>
      </c>
      <c r="G136" s="4"/>
      <c r="H136" s="4"/>
      <c r="I136" s="4"/>
      <c r="J136" s="10" t="s">
        <v>65</v>
      </c>
    </row>
    <row r="137" spans="1:10" ht="20.149999999999999" customHeight="1">
      <c r="A137" s="43" t="s">
        <v>32</v>
      </c>
      <c r="B137" s="64" t="s">
        <v>141</v>
      </c>
      <c r="C137" s="65">
        <f>1959.43/100</f>
        <v>19.5943</v>
      </c>
      <c r="D137" s="62">
        <f t="shared" si="24"/>
        <v>65.314333333333323</v>
      </c>
      <c r="E137" s="63">
        <v>10648</v>
      </c>
      <c r="F137" s="20">
        <f t="shared" si="25"/>
        <v>133.1</v>
      </c>
      <c r="G137" s="4"/>
      <c r="H137" s="4"/>
      <c r="I137" s="4"/>
      <c r="J137" s="10" t="s">
        <v>65</v>
      </c>
    </row>
    <row r="138" spans="1:10" ht="20.149999999999999" customHeight="1">
      <c r="A138" s="43" t="s">
        <v>33</v>
      </c>
      <c r="B138" s="64" t="s">
        <v>142</v>
      </c>
      <c r="C138" s="65">
        <f>2906.24/100</f>
        <v>29.062399999999997</v>
      </c>
      <c r="D138" s="62">
        <f t="shared" si="24"/>
        <v>96.874666666666656</v>
      </c>
      <c r="E138" s="63">
        <v>8423</v>
      </c>
      <c r="F138" s="20">
        <f t="shared" si="25"/>
        <v>105.28749999999999</v>
      </c>
      <c r="G138" s="4"/>
      <c r="H138" s="4"/>
      <c r="I138" s="4"/>
      <c r="J138" s="10" t="s">
        <v>65</v>
      </c>
    </row>
    <row r="139" spans="1:10" ht="20.149999999999999" customHeight="1">
      <c r="A139" s="43" t="s">
        <v>34</v>
      </c>
      <c r="B139" s="64" t="s">
        <v>143</v>
      </c>
      <c r="C139" s="65">
        <f>1499.92/100</f>
        <v>14.9992</v>
      </c>
      <c r="D139" s="62">
        <f t="shared" si="24"/>
        <v>49.99733333333333</v>
      </c>
      <c r="E139" s="63">
        <v>8287</v>
      </c>
      <c r="F139" s="20">
        <f t="shared" si="25"/>
        <v>103.58750000000001</v>
      </c>
      <c r="G139" s="4"/>
      <c r="H139" s="4"/>
      <c r="I139" s="4"/>
      <c r="J139" s="10" t="s">
        <v>65</v>
      </c>
    </row>
    <row r="140" spans="1:10" ht="20.149999999999999" customHeight="1">
      <c r="A140" s="43" t="s">
        <v>177</v>
      </c>
      <c r="B140" s="64" t="s">
        <v>144</v>
      </c>
      <c r="C140" s="65">
        <f>77961.78/100</f>
        <v>779.61779999999999</v>
      </c>
      <c r="D140" s="62">
        <f>C140/50*100</f>
        <v>1559.2356</v>
      </c>
      <c r="E140" s="63">
        <v>5403</v>
      </c>
      <c r="F140" s="20">
        <f>E140/5000*100</f>
        <v>108.06</v>
      </c>
      <c r="G140" s="4"/>
      <c r="H140" s="10" t="s">
        <v>65</v>
      </c>
      <c r="I140" s="19"/>
      <c r="J140" s="10" t="s">
        <v>65</v>
      </c>
    </row>
    <row r="141" spans="1:10" ht="20.149999999999999" customHeight="1">
      <c r="A141" s="43" t="s">
        <v>178</v>
      </c>
      <c r="B141" s="64" t="s">
        <v>145</v>
      </c>
      <c r="C141" s="65">
        <f>3826.45/100</f>
        <v>38.264499999999998</v>
      </c>
      <c r="D141" s="62">
        <f t="shared" si="24"/>
        <v>127.54833333333333</v>
      </c>
      <c r="E141" s="63">
        <v>7069</v>
      </c>
      <c r="F141" s="20">
        <f t="shared" si="25"/>
        <v>88.362499999999997</v>
      </c>
      <c r="G141" s="4"/>
      <c r="H141" s="10"/>
      <c r="I141" s="4"/>
      <c r="J141" s="10" t="s">
        <v>65</v>
      </c>
    </row>
    <row r="142" spans="1:10" ht="20.149999999999999" customHeight="1">
      <c r="A142" s="43" t="s">
        <v>179</v>
      </c>
      <c r="B142" s="64" t="s">
        <v>146</v>
      </c>
      <c r="C142" s="65">
        <f>1145.53/100</f>
        <v>11.455299999999999</v>
      </c>
      <c r="D142" s="62">
        <f t="shared" si="24"/>
        <v>38.184333333333328</v>
      </c>
      <c r="E142" s="63">
        <v>6095</v>
      </c>
      <c r="F142" s="20">
        <f t="shared" si="25"/>
        <v>76.1875</v>
      </c>
      <c r="G142" s="4"/>
      <c r="H142" s="10"/>
      <c r="I142" s="4"/>
      <c r="J142" s="10" t="s">
        <v>65</v>
      </c>
    </row>
    <row r="143" spans="1:10" ht="20.149999999999999" customHeight="1">
      <c r="A143" s="43" t="s">
        <v>180</v>
      </c>
      <c r="B143" s="64" t="s">
        <v>147</v>
      </c>
      <c r="C143" s="65">
        <f>827.43/100</f>
        <v>8.2743000000000002</v>
      </c>
      <c r="D143" s="62">
        <f t="shared" si="24"/>
        <v>27.581</v>
      </c>
      <c r="E143" s="63">
        <v>8256</v>
      </c>
      <c r="F143" s="20">
        <f t="shared" si="25"/>
        <v>103.2</v>
      </c>
      <c r="G143" s="4"/>
      <c r="H143" s="10"/>
      <c r="I143" s="4"/>
      <c r="J143" s="10" t="s">
        <v>65</v>
      </c>
    </row>
    <row r="144" spans="1:10" ht="20.149999999999999" customHeight="1">
      <c r="A144" s="43" t="s">
        <v>183</v>
      </c>
      <c r="B144" s="64" t="s">
        <v>148</v>
      </c>
      <c r="C144" s="65">
        <f>778.88/100</f>
        <v>7.7888000000000002</v>
      </c>
      <c r="D144" s="62">
        <f t="shared" si="24"/>
        <v>25.962666666666667</v>
      </c>
      <c r="E144" s="63">
        <v>7936</v>
      </c>
      <c r="F144" s="20">
        <f t="shared" si="25"/>
        <v>99.2</v>
      </c>
      <c r="G144" s="4"/>
      <c r="H144" s="10"/>
      <c r="I144" s="4"/>
      <c r="J144" s="10" t="s">
        <v>65</v>
      </c>
    </row>
    <row r="145" spans="1:10" ht="20.149999999999999" customHeight="1">
      <c r="A145" s="43" t="s">
        <v>184</v>
      </c>
      <c r="B145" s="64" t="s">
        <v>149</v>
      </c>
      <c r="C145" s="65">
        <f>2010.71/100</f>
        <v>20.107099999999999</v>
      </c>
      <c r="D145" s="62">
        <f t="shared" si="24"/>
        <v>67.023666666666657</v>
      </c>
      <c r="E145" s="63">
        <v>6912</v>
      </c>
      <c r="F145" s="20">
        <f t="shared" si="25"/>
        <v>86.4</v>
      </c>
      <c r="G145" s="4"/>
      <c r="H145" s="10"/>
      <c r="I145" s="4"/>
      <c r="J145" s="10" t="s">
        <v>65</v>
      </c>
    </row>
    <row r="146" spans="1:10" ht="20.149999999999999" customHeight="1">
      <c r="A146" s="43" t="s">
        <v>188</v>
      </c>
      <c r="B146" s="64" t="s">
        <v>150</v>
      </c>
      <c r="C146" s="65">
        <f>15633.84/100</f>
        <v>156.33840000000001</v>
      </c>
      <c r="D146" s="62">
        <f>C146/50*100</f>
        <v>312.67680000000001</v>
      </c>
      <c r="E146" s="63">
        <v>3081</v>
      </c>
      <c r="F146" s="20">
        <f>E146/5000*100</f>
        <v>61.62</v>
      </c>
      <c r="G146" s="4"/>
      <c r="H146" s="10" t="s">
        <v>65</v>
      </c>
      <c r="I146" s="4"/>
      <c r="J146" s="10" t="s">
        <v>65</v>
      </c>
    </row>
    <row r="147" spans="1:10" ht="20.149999999999999" customHeight="1">
      <c r="A147" s="37">
        <v>2</v>
      </c>
      <c r="B147" s="38" t="s">
        <v>27</v>
      </c>
      <c r="C147" s="51"/>
      <c r="D147" s="62"/>
      <c r="E147" s="51"/>
      <c r="F147" s="20"/>
      <c r="G147" s="4"/>
      <c r="H147" s="4"/>
      <c r="I147" s="4"/>
      <c r="J147" s="4"/>
    </row>
    <row r="148" spans="1:10" ht="20.149999999999999" customHeight="1">
      <c r="A148" s="43" t="s">
        <v>185</v>
      </c>
      <c r="B148" s="51" t="s">
        <v>207</v>
      </c>
      <c r="C148" s="65">
        <f>868.95/100</f>
        <v>8.6895000000000007</v>
      </c>
      <c r="D148" s="62">
        <f>C148/14*100</f>
        <v>62.06785714285715</v>
      </c>
      <c r="E148" s="63">
        <v>10993</v>
      </c>
      <c r="F148" s="20">
        <f t="shared" si="25"/>
        <v>137.41249999999999</v>
      </c>
      <c r="G148" s="4"/>
      <c r="H148" s="4"/>
      <c r="I148" s="4"/>
      <c r="J148" s="10" t="s">
        <v>65</v>
      </c>
    </row>
    <row r="149" spans="1:10" ht="20.149999999999999" customHeight="1">
      <c r="A149" s="37" t="s">
        <v>208</v>
      </c>
      <c r="B149" s="38" t="s">
        <v>209</v>
      </c>
      <c r="C149" s="67">
        <f>SUM(C151:C177)</f>
        <v>1401.8044999999997</v>
      </c>
      <c r="D149" s="67"/>
      <c r="E149" s="68">
        <f t="shared" ref="E149" si="26">SUM(E151:E177)</f>
        <v>176356</v>
      </c>
      <c r="F149" s="11"/>
      <c r="G149" s="11"/>
      <c r="H149" s="11"/>
      <c r="I149" s="11"/>
      <c r="J149" s="4"/>
    </row>
    <row r="150" spans="1:10" ht="20.149999999999999" customHeight="1">
      <c r="A150" s="37">
        <v>1</v>
      </c>
      <c r="B150" s="38" t="s">
        <v>26</v>
      </c>
      <c r="C150" s="51"/>
      <c r="D150" s="51"/>
      <c r="E150" s="51"/>
      <c r="F150" s="4"/>
      <c r="G150" s="4"/>
      <c r="H150" s="4"/>
      <c r="I150" s="4"/>
      <c r="J150" s="4"/>
    </row>
    <row r="151" spans="1:10" ht="20.149999999999999" customHeight="1">
      <c r="A151" s="43" t="s">
        <v>29</v>
      </c>
      <c r="B151" s="69" t="s">
        <v>151</v>
      </c>
      <c r="C151" s="71">
        <f>48733.81/100</f>
        <v>487.3381</v>
      </c>
      <c r="D151" s="125">
        <f>C151/50*100</f>
        <v>974.67619999999999</v>
      </c>
      <c r="E151" s="63">
        <v>5054</v>
      </c>
      <c r="F151" s="20">
        <f>E151/5000*100</f>
        <v>101.08</v>
      </c>
      <c r="G151" s="4"/>
      <c r="H151" s="10" t="s">
        <v>65</v>
      </c>
      <c r="I151" s="19"/>
      <c r="J151" s="10" t="s">
        <v>65</v>
      </c>
    </row>
    <row r="152" spans="1:10" ht="20.149999999999999" customHeight="1">
      <c r="A152" s="43" t="s">
        <v>30</v>
      </c>
      <c r="B152" s="69" t="s">
        <v>152</v>
      </c>
      <c r="C152" s="71">
        <f>22793.36/100</f>
        <v>227.93360000000001</v>
      </c>
      <c r="D152" s="125">
        <f>C152/50*100</f>
        <v>455.86720000000003</v>
      </c>
      <c r="E152" s="63">
        <v>1854</v>
      </c>
      <c r="F152" s="20">
        <f>E152/5000*100</f>
        <v>37.08</v>
      </c>
      <c r="G152" s="4"/>
      <c r="H152" s="10" t="s">
        <v>65</v>
      </c>
      <c r="I152" s="19"/>
      <c r="J152" s="10" t="s">
        <v>65</v>
      </c>
    </row>
    <row r="153" spans="1:10" ht="20.149999999999999" customHeight="1">
      <c r="A153" s="43" t="s">
        <v>31</v>
      </c>
      <c r="B153" s="69" t="s">
        <v>153</v>
      </c>
      <c r="C153" s="71">
        <f>2135.33/100</f>
        <v>21.353300000000001</v>
      </c>
      <c r="D153" s="125">
        <f t="shared" ref="D153:D174" si="27">C153/30*100</f>
        <v>71.177666666666667</v>
      </c>
      <c r="E153" s="63">
        <v>11193</v>
      </c>
      <c r="F153" s="20">
        <f t="shared" ref="F153:F177" si="28">E153/8000*100</f>
        <v>139.91249999999999</v>
      </c>
      <c r="G153" s="4"/>
      <c r="H153" s="4"/>
      <c r="I153" s="4"/>
      <c r="J153" s="10" t="s">
        <v>65</v>
      </c>
    </row>
    <row r="154" spans="1:10" ht="20.149999999999999" customHeight="1">
      <c r="A154" s="43" t="s">
        <v>32</v>
      </c>
      <c r="B154" s="69" t="s">
        <v>154</v>
      </c>
      <c r="C154" s="71">
        <f>4157.64/100</f>
        <v>41.576400000000007</v>
      </c>
      <c r="D154" s="125">
        <f t="shared" si="27"/>
        <v>138.58800000000002</v>
      </c>
      <c r="E154" s="63">
        <v>8317</v>
      </c>
      <c r="F154" s="20">
        <f t="shared" si="28"/>
        <v>103.96250000000001</v>
      </c>
      <c r="G154" s="4"/>
      <c r="H154" s="4"/>
      <c r="I154" s="4"/>
      <c r="J154" s="10" t="s">
        <v>65</v>
      </c>
    </row>
    <row r="155" spans="1:10" ht="20.149999999999999" customHeight="1">
      <c r="A155" s="43" t="s">
        <v>33</v>
      </c>
      <c r="B155" s="69" t="s">
        <v>155</v>
      </c>
      <c r="C155" s="71">
        <f>2715.1/100</f>
        <v>27.151</v>
      </c>
      <c r="D155" s="125">
        <f t="shared" si="27"/>
        <v>90.50333333333333</v>
      </c>
      <c r="E155" s="63">
        <v>10129</v>
      </c>
      <c r="F155" s="20">
        <f t="shared" si="28"/>
        <v>126.6125</v>
      </c>
      <c r="G155" s="4"/>
      <c r="H155" s="4"/>
      <c r="I155" s="4"/>
      <c r="J155" s="10" t="s">
        <v>65</v>
      </c>
    </row>
    <row r="156" spans="1:10" ht="20.149999999999999" customHeight="1">
      <c r="A156" s="43" t="s">
        <v>34</v>
      </c>
      <c r="B156" s="69" t="s">
        <v>156</v>
      </c>
      <c r="C156" s="71">
        <f>2569.53/100</f>
        <v>25.695300000000003</v>
      </c>
      <c r="D156" s="125">
        <f t="shared" si="27"/>
        <v>85.65100000000001</v>
      </c>
      <c r="E156" s="63">
        <v>8374</v>
      </c>
      <c r="F156" s="20">
        <f t="shared" si="28"/>
        <v>104.67500000000001</v>
      </c>
      <c r="G156" s="4"/>
      <c r="H156" s="4"/>
      <c r="I156" s="4"/>
      <c r="J156" s="10" t="s">
        <v>65</v>
      </c>
    </row>
    <row r="157" spans="1:10" ht="20.149999999999999" customHeight="1">
      <c r="A157" s="43" t="s">
        <v>177</v>
      </c>
      <c r="B157" s="69" t="s">
        <v>157</v>
      </c>
      <c r="C157" s="71">
        <f>7589.35/100</f>
        <v>75.893500000000003</v>
      </c>
      <c r="D157" s="125">
        <f t="shared" si="27"/>
        <v>252.97833333333335</v>
      </c>
      <c r="E157" s="63">
        <v>6723</v>
      </c>
      <c r="F157" s="20">
        <f t="shared" si="28"/>
        <v>84.037499999999994</v>
      </c>
      <c r="G157" s="4"/>
      <c r="H157" s="4"/>
      <c r="I157" s="4"/>
      <c r="J157" s="10" t="s">
        <v>65</v>
      </c>
    </row>
    <row r="158" spans="1:10" ht="20.149999999999999" customHeight="1">
      <c r="A158" s="43" t="s">
        <v>178</v>
      </c>
      <c r="B158" s="69" t="s">
        <v>158</v>
      </c>
      <c r="C158" s="71">
        <f>1000.49/100</f>
        <v>10.004899999999999</v>
      </c>
      <c r="D158" s="125">
        <f t="shared" si="27"/>
        <v>33.349666666666664</v>
      </c>
      <c r="E158" s="63">
        <v>8111</v>
      </c>
      <c r="F158" s="20">
        <f t="shared" si="28"/>
        <v>101.3875</v>
      </c>
      <c r="G158" s="4"/>
      <c r="H158" s="4"/>
      <c r="I158" s="4"/>
      <c r="J158" s="10" t="s">
        <v>65</v>
      </c>
    </row>
    <row r="159" spans="1:10" ht="20.149999999999999" customHeight="1">
      <c r="A159" s="43" t="s">
        <v>179</v>
      </c>
      <c r="B159" s="69" t="s">
        <v>159</v>
      </c>
      <c r="C159" s="71">
        <f>654.95/100</f>
        <v>6.5495000000000001</v>
      </c>
      <c r="D159" s="125">
        <f t="shared" si="27"/>
        <v>21.831666666666667</v>
      </c>
      <c r="E159" s="63">
        <v>6576</v>
      </c>
      <c r="F159" s="20">
        <f t="shared" si="28"/>
        <v>82.199999999999989</v>
      </c>
      <c r="G159" s="4"/>
      <c r="H159" s="4"/>
      <c r="I159" s="4"/>
      <c r="J159" s="10" t="s">
        <v>65</v>
      </c>
    </row>
    <row r="160" spans="1:10" ht="20.149999999999999" customHeight="1">
      <c r="A160" s="43" t="s">
        <v>180</v>
      </c>
      <c r="B160" s="69" t="s">
        <v>160</v>
      </c>
      <c r="C160" s="71">
        <f>702.65/100</f>
        <v>7.0264999999999995</v>
      </c>
      <c r="D160" s="125">
        <f t="shared" si="27"/>
        <v>23.421666666666667</v>
      </c>
      <c r="E160" s="63">
        <v>9806</v>
      </c>
      <c r="F160" s="20">
        <f t="shared" si="28"/>
        <v>122.57499999999999</v>
      </c>
      <c r="G160" s="4"/>
      <c r="H160" s="4"/>
      <c r="I160" s="4"/>
      <c r="J160" s="10" t="s">
        <v>65</v>
      </c>
    </row>
    <row r="161" spans="1:10" ht="20.149999999999999" customHeight="1">
      <c r="A161" s="43" t="s">
        <v>183</v>
      </c>
      <c r="B161" s="69" t="s">
        <v>161</v>
      </c>
      <c r="C161" s="71">
        <f>2048.76/100</f>
        <v>20.4876</v>
      </c>
      <c r="D161" s="125">
        <f t="shared" si="27"/>
        <v>68.292000000000002</v>
      </c>
      <c r="E161" s="63">
        <v>7260</v>
      </c>
      <c r="F161" s="20">
        <f t="shared" si="28"/>
        <v>90.75</v>
      </c>
      <c r="G161" s="4"/>
      <c r="H161" s="4"/>
      <c r="I161" s="4"/>
      <c r="J161" s="10" t="s">
        <v>65</v>
      </c>
    </row>
    <row r="162" spans="1:10" ht="20.149999999999999" customHeight="1">
      <c r="A162" s="43" t="s">
        <v>184</v>
      </c>
      <c r="B162" s="69" t="s">
        <v>162</v>
      </c>
      <c r="C162" s="71">
        <f>1373.91/100</f>
        <v>13.739100000000001</v>
      </c>
      <c r="D162" s="125">
        <f t="shared" si="27"/>
        <v>45.797000000000004</v>
      </c>
      <c r="E162" s="63">
        <v>6471</v>
      </c>
      <c r="F162" s="20">
        <f t="shared" si="28"/>
        <v>80.887500000000003</v>
      </c>
      <c r="G162" s="4"/>
      <c r="H162" s="4"/>
      <c r="I162" s="4"/>
      <c r="J162" s="10" t="s">
        <v>65</v>
      </c>
    </row>
    <row r="163" spans="1:10" ht="20.149999999999999" customHeight="1">
      <c r="A163" s="43" t="s">
        <v>188</v>
      </c>
      <c r="B163" s="69" t="s">
        <v>163</v>
      </c>
      <c r="C163" s="71">
        <f>5873.43/100</f>
        <v>58.734300000000005</v>
      </c>
      <c r="D163" s="125">
        <f t="shared" si="27"/>
        <v>195.78100000000001</v>
      </c>
      <c r="E163" s="63">
        <v>5826</v>
      </c>
      <c r="F163" s="20">
        <f t="shared" si="28"/>
        <v>72.824999999999989</v>
      </c>
      <c r="G163" s="4"/>
      <c r="H163" s="4"/>
      <c r="I163" s="4"/>
      <c r="J163" s="10" t="s">
        <v>65</v>
      </c>
    </row>
    <row r="164" spans="1:10" ht="20.149999999999999" customHeight="1">
      <c r="A164" s="43" t="s">
        <v>189</v>
      </c>
      <c r="B164" s="69" t="s">
        <v>164</v>
      </c>
      <c r="C164" s="71">
        <f>1999.75/100</f>
        <v>19.997499999999999</v>
      </c>
      <c r="D164" s="125">
        <f t="shared" si="27"/>
        <v>66.658333333333331</v>
      </c>
      <c r="E164" s="63">
        <v>7444</v>
      </c>
      <c r="F164" s="20">
        <f t="shared" si="28"/>
        <v>93.05</v>
      </c>
      <c r="G164" s="4"/>
      <c r="H164" s="4"/>
      <c r="I164" s="4"/>
      <c r="J164" s="10" t="s">
        <v>65</v>
      </c>
    </row>
    <row r="165" spans="1:10" ht="20.149999999999999" customHeight="1">
      <c r="A165" s="43" t="s">
        <v>190</v>
      </c>
      <c r="B165" s="69" t="s">
        <v>165</v>
      </c>
      <c r="C165" s="71">
        <f>3560.17/100</f>
        <v>35.601700000000001</v>
      </c>
      <c r="D165" s="125">
        <f t="shared" si="27"/>
        <v>118.67233333333334</v>
      </c>
      <c r="E165" s="63">
        <v>5445</v>
      </c>
      <c r="F165" s="20">
        <f t="shared" si="28"/>
        <v>68.0625</v>
      </c>
      <c r="G165" s="4"/>
      <c r="H165" s="4"/>
      <c r="I165" s="4"/>
      <c r="J165" s="10" t="s">
        <v>65</v>
      </c>
    </row>
    <row r="166" spans="1:10" ht="20.149999999999999" customHeight="1">
      <c r="A166" s="43" t="s">
        <v>191</v>
      </c>
      <c r="B166" s="69" t="s">
        <v>166</v>
      </c>
      <c r="C166" s="71">
        <f>1919.4/100</f>
        <v>19.194000000000003</v>
      </c>
      <c r="D166" s="125">
        <f t="shared" si="27"/>
        <v>63.980000000000004</v>
      </c>
      <c r="E166" s="63">
        <v>8875</v>
      </c>
      <c r="F166" s="20">
        <f t="shared" si="28"/>
        <v>110.9375</v>
      </c>
      <c r="G166" s="4"/>
      <c r="H166" s="4"/>
      <c r="I166" s="4"/>
      <c r="J166" s="10" t="s">
        <v>65</v>
      </c>
    </row>
    <row r="167" spans="1:10" ht="20.149999999999999" customHeight="1">
      <c r="A167" s="43" t="s">
        <v>192</v>
      </c>
      <c r="B167" s="69" t="s">
        <v>167</v>
      </c>
      <c r="C167" s="71">
        <f>2143.1/100</f>
        <v>21.430999999999997</v>
      </c>
      <c r="D167" s="125">
        <f t="shared" si="27"/>
        <v>71.436666666666653</v>
      </c>
      <c r="E167" s="63">
        <v>7933</v>
      </c>
      <c r="F167" s="20">
        <f t="shared" si="28"/>
        <v>99.162499999999994</v>
      </c>
      <c r="G167" s="4"/>
      <c r="H167" s="4"/>
      <c r="I167" s="4"/>
      <c r="J167" s="10" t="s">
        <v>65</v>
      </c>
    </row>
    <row r="168" spans="1:10" ht="20.149999999999999" customHeight="1">
      <c r="A168" s="43" t="s">
        <v>193</v>
      </c>
      <c r="B168" s="69" t="s">
        <v>168</v>
      </c>
      <c r="C168" s="71">
        <f>1410.14/100</f>
        <v>14.101400000000002</v>
      </c>
      <c r="D168" s="125">
        <f t="shared" si="27"/>
        <v>47.004666666666672</v>
      </c>
      <c r="E168" s="63">
        <v>4996</v>
      </c>
      <c r="F168" s="20">
        <f t="shared" si="28"/>
        <v>62.45</v>
      </c>
      <c r="G168" s="4"/>
      <c r="H168" s="4"/>
      <c r="I168" s="4"/>
      <c r="J168" s="10" t="s">
        <v>65</v>
      </c>
    </row>
    <row r="169" spans="1:10" ht="20.149999999999999" customHeight="1">
      <c r="A169" s="43" t="s">
        <v>198</v>
      </c>
      <c r="B169" s="69" t="s">
        <v>169</v>
      </c>
      <c r="C169" s="71">
        <f>1432.96/100</f>
        <v>14.329600000000001</v>
      </c>
      <c r="D169" s="125">
        <f t="shared" si="27"/>
        <v>47.765333333333338</v>
      </c>
      <c r="E169" s="63">
        <v>6761</v>
      </c>
      <c r="F169" s="20">
        <f t="shared" si="28"/>
        <v>84.512500000000003</v>
      </c>
      <c r="G169" s="4"/>
      <c r="H169" s="4"/>
      <c r="I169" s="4"/>
      <c r="J169" s="10" t="s">
        <v>65</v>
      </c>
    </row>
    <row r="170" spans="1:10" ht="20.149999999999999" customHeight="1">
      <c r="A170" s="43" t="s">
        <v>199</v>
      </c>
      <c r="B170" s="69" t="s">
        <v>170</v>
      </c>
      <c r="C170" s="71">
        <f>3231.02/100</f>
        <v>32.310200000000002</v>
      </c>
      <c r="D170" s="125">
        <f t="shared" si="27"/>
        <v>107.70066666666666</v>
      </c>
      <c r="E170" s="63">
        <v>4777</v>
      </c>
      <c r="F170" s="20">
        <f t="shared" si="28"/>
        <v>59.712499999999999</v>
      </c>
      <c r="G170" s="4"/>
      <c r="H170" s="4"/>
      <c r="I170" s="4"/>
      <c r="J170" s="10" t="s">
        <v>65</v>
      </c>
    </row>
    <row r="171" spans="1:10" ht="20.149999999999999" customHeight="1">
      <c r="A171" s="43" t="s">
        <v>200</v>
      </c>
      <c r="B171" s="69" t="s">
        <v>171</v>
      </c>
      <c r="C171" s="71">
        <f>2351.57/100</f>
        <v>23.515700000000002</v>
      </c>
      <c r="D171" s="125">
        <f t="shared" si="27"/>
        <v>78.38566666666668</v>
      </c>
      <c r="E171" s="63">
        <v>6502</v>
      </c>
      <c r="F171" s="20">
        <f t="shared" si="28"/>
        <v>81.274999999999991</v>
      </c>
      <c r="G171" s="4"/>
      <c r="H171" s="4"/>
      <c r="I171" s="4"/>
      <c r="J171" s="10" t="s">
        <v>65</v>
      </c>
    </row>
    <row r="172" spans="1:10" ht="20.149999999999999" customHeight="1">
      <c r="A172" s="43" t="s">
        <v>201</v>
      </c>
      <c r="B172" s="69" t="s">
        <v>172</v>
      </c>
      <c r="C172" s="71">
        <f>16579.29/100</f>
        <v>165.7929</v>
      </c>
      <c r="D172" s="125">
        <f>C172/50*100</f>
        <v>331.58580000000001</v>
      </c>
      <c r="E172" s="63">
        <v>2868</v>
      </c>
      <c r="F172" s="20">
        <f>E172/5000*100</f>
        <v>57.36</v>
      </c>
      <c r="G172" s="4"/>
      <c r="H172" s="10" t="s">
        <v>65</v>
      </c>
      <c r="I172" s="4"/>
      <c r="J172" s="10" t="s">
        <v>65</v>
      </c>
    </row>
    <row r="173" spans="1:10" ht="20.149999999999999" customHeight="1">
      <c r="A173" s="43" t="s">
        <v>202</v>
      </c>
      <c r="B173" s="69" t="s">
        <v>173</v>
      </c>
      <c r="C173" s="71">
        <f>961.26/100</f>
        <v>9.6126000000000005</v>
      </c>
      <c r="D173" s="125">
        <f t="shared" si="27"/>
        <v>32.042000000000002</v>
      </c>
      <c r="E173" s="63">
        <v>5087</v>
      </c>
      <c r="F173" s="20">
        <f t="shared" si="28"/>
        <v>63.587499999999999</v>
      </c>
      <c r="G173" s="4"/>
      <c r="H173" s="4"/>
      <c r="I173" s="4"/>
      <c r="J173" s="10" t="s">
        <v>65</v>
      </c>
    </row>
    <row r="174" spans="1:10" ht="20.149999999999999" customHeight="1">
      <c r="A174" s="43" t="s">
        <v>210</v>
      </c>
      <c r="B174" s="69" t="s">
        <v>174</v>
      </c>
      <c r="C174" s="71">
        <f>771.81/100</f>
        <v>7.7180999999999997</v>
      </c>
      <c r="D174" s="125">
        <f t="shared" si="27"/>
        <v>25.727</v>
      </c>
      <c r="E174" s="63">
        <v>5312</v>
      </c>
      <c r="F174" s="20">
        <f t="shared" si="28"/>
        <v>66.400000000000006</v>
      </c>
      <c r="G174" s="4"/>
      <c r="H174" s="4"/>
      <c r="I174" s="4"/>
      <c r="J174" s="10" t="s">
        <v>65</v>
      </c>
    </row>
    <row r="175" spans="1:10" ht="20.149999999999999" customHeight="1">
      <c r="A175" s="37">
        <v>2</v>
      </c>
      <c r="B175" s="38" t="s">
        <v>27</v>
      </c>
      <c r="C175" s="51"/>
      <c r="D175" s="126"/>
      <c r="E175" s="51"/>
      <c r="F175" s="20"/>
      <c r="G175" s="4"/>
      <c r="H175" s="4"/>
      <c r="I175" s="4"/>
      <c r="J175" s="22"/>
    </row>
    <row r="176" spans="1:10" ht="20.149999999999999" customHeight="1">
      <c r="A176" s="43" t="s">
        <v>185</v>
      </c>
      <c r="B176" s="69" t="s">
        <v>175</v>
      </c>
      <c r="C176" s="71">
        <f>328.19/100</f>
        <v>3.2818999999999998</v>
      </c>
      <c r="D176" s="126">
        <f>C176/14*100</f>
        <v>23.442142857142855</v>
      </c>
      <c r="E176" s="63">
        <v>8462</v>
      </c>
      <c r="F176" s="20">
        <f t="shared" si="28"/>
        <v>105.77499999999999</v>
      </c>
      <c r="G176" s="4"/>
      <c r="H176" s="4"/>
      <c r="I176" s="4"/>
      <c r="J176" s="10" t="s">
        <v>65</v>
      </c>
    </row>
    <row r="177" spans="1:10" ht="20.149999999999999" customHeight="1">
      <c r="A177" s="43" t="s">
        <v>203</v>
      </c>
      <c r="B177" s="69" t="s">
        <v>176</v>
      </c>
      <c r="C177" s="71">
        <f>1143.48/100</f>
        <v>11.434800000000001</v>
      </c>
      <c r="D177" s="126">
        <f>C177/14*100</f>
        <v>81.677142857142854</v>
      </c>
      <c r="E177" s="63">
        <v>6200</v>
      </c>
      <c r="F177" s="20">
        <f t="shared" si="28"/>
        <v>77.5</v>
      </c>
      <c r="G177" s="4"/>
      <c r="H177" s="4"/>
      <c r="I177" s="4"/>
      <c r="J177" s="10" t="s">
        <v>65</v>
      </c>
    </row>
    <row r="178" spans="1:10" ht="111.75" customHeight="1">
      <c r="A178" s="171" t="s">
        <v>398</v>
      </c>
      <c r="B178" s="171"/>
      <c r="C178" s="171"/>
      <c r="D178" s="171"/>
      <c r="E178" s="171"/>
      <c r="F178" s="171"/>
      <c r="G178" s="171"/>
      <c r="H178" s="171"/>
      <c r="I178" s="171"/>
      <c r="J178" s="171"/>
    </row>
    <row r="179" spans="1:10" ht="20.149999999999999" customHeight="1">
      <c r="E179" s="160"/>
      <c r="F179" s="160"/>
      <c r="G179" s="160"/>
      <c r="H179" s="160"/>
      <c r="I179" s="160"/>
      <c r="J179" s="160"/>
    </row>
    <row r="180" spans="1:10" ht="17.25" customHeight="1">
      <c r="E180" s="160"/>
      <c r="F180" s="160"/>
      <c r="G180" s="160"/>
      <c r="H180" s="160"/>
      <c r="I180" s="160"/>
      <c r="J180" s="160"/>
    </row>
    <row r="181" spans="1:10" ht="20.149999999999999" customHeight="1"/>
    <row r="182" spans="1:10" ht="20.149999999999999" customHeight="1"/>
    <row r="183" spans="1:10" ht="20.149999999999999" customHeight="1"/>
    <row r="184" spans="1:10" ht="20.149999999999999" customHeight="1"/>
    <row r="185" spans="1:10" ht="20.149999999999999" customHeight="1"/>
    <row r="186" spans="1:10" ht="20.149999999999999" customHeight="1"/>
    <row r="187" spans="1:10" ht="20.149999999999999" customHeight="1"/>
    <row r="188" spans="1:10" ht="20.149999999999999" customHeight="1"/>
    <row r="189" spans="1:10" ht="20.149999999999999" customHeight="1"/>
    <row r="190" spans="1:10" ht="20.149999999999999" customHeight="1"/>
    <row r="191" spans="1:10" ht="20.149999999999999" customHeight="1"/>
    <row r="192" spans="1:10" ht="20.149999999999999" customHeight="1"/>
    <row r="193" spans="1:1" ht="20.149999999999999" customHeight="1">
      <c r="A193" s="34"/>
    </row>
    <row r="194" spans="1:1" ht="20.149999999999999" customHeight="1">
      <c r="A194" s="34"/>
    </row>
    <row r="195" spans="1:1" ht="20.149999999999999" customHeight="1">
      <c r="A195" s="34"/>
    </row>
    <row r="196" spans="1:1" ht="20.149999999999999" customHeight="1">
      <c r="A196" s="34"/>
    </row>
    <row r="197" spans="1:1" ht="20.149999999999999" customHeight="1">
      <c r="A197" s="34"/>
    </row>
  </sheetData>
  <mergeCells count="14">
    <mergeCell ref="J4:J5"/>
    <mergeCell ref="E179:J179"/>
    <mergeCell ref="E180:J180"/>
    <mergeCell ref="A2:C2"/>
    <mergeCell ref="D2:I2"/>
    <mergeCell ref="A3:I3"/>
    <mergeCell ref="A4:A5"/>
    <mergeCell ref="B4:B5"/>
    <mergeCell ref="C4:D4"/>
    <mergeCell ref="E4:F4"/>
    <mergeCell ref="G4:G5"/>
    <mergeCell ref="H4:H5"/>
    <mergeCell ref="I4:I5"/>
    <mergeCell ref="A178:J178"/>
  </mergeCells>
  <pageMargins left="0.31496062992125984" right="0" top="0.15748031496062992" bottom="0.11811023622047245" header="0"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view="pageBreakPreview" zoomScale="115" zoomScaleNormal="115" zoomScaleSheetLayoutView="115" workbookViewId="0">
      <selection activeCell="A9" sqref="A9:I9"/>
    </sheetView>
  </sheetViews>
  <sheetFormatPr defaultRowHeight="15.5"/>
  <cols>
    <col min="1" max="1" width="5.33203125" style="16" customWidth="1"/>
    <col min="2" max="2" width="16.25" customWidth="1"/>
    <col min="3" max="8" width="8.58203125" customWidth="1"/>
    <col min="9" max="9" width="19.33203125" customWidth="1"/>
  </cols>
  <sheetData>
    <row r="1" spans="1:9">
      <c r="I1" s="1" t="s">
        <v>213</v>
      </c>
    </row>
    <row r="2" spans="1:9">
      <c r="A2" s="173" t="s">
        <v>0</v>
      </c>
      <c r="B2" s="173"/>
      <c r="C2" s="173"/>
      <c r="D2" s="162"/>
      <c r="E2" s="162"/>
      <c r="F2" s="162"/>
      <c r="G2" s="162"/>
      <c r="H2" s="162"/>
      <c r="I2" s="162"/>
    </row>
    <row r="3" spans="1:9" ht="65.25" customHeight="1">
      <c r="A3" s="163" t="s">
        <v>374</v>
      </c>
      <c r="B3" s="160"/>
      <c r="C3" s="160"/>
      <c r="D3" s="160"/>
      <c r="E3" s="160"/>
      <c r="F3" s="160"/>
      <c r="G3" s="160"/>
      <c r="H3" s="160"/>
      <c r="I3" s="160"/>
    </row>
    <row r="4" spans="1:9" ht="39" customHeight="1">
      <c r="A4" s="174" t="s">
        <v>4</v>
      </c>
      <c r="B4" s="169" t="s">
        <v>1</v>
      </c>
      <c r="C4" s="174" t="s">
        <v>2</v>
      </c>
      <c r="D4" s="174"/>
      <c r="E4" s="167" t="s">
        <v>3</v>
      </c>
      <c r="F4" s="168"/>
      <c r="G4" s="169" t="s">
        <v>5</v>
      </c>
      <c r="H4" s="169" t="s">
        <v>6</v>
      </c>
      <c r="I4" s="169" t="s">
        <v>25</v>
      </c>
    </row>
    <row r="5" spans="1:9" ht="90" customHeight="1">
      <c r="A5" s="174"/>
      <c r="B5" s="170"/>
      <c r="C5" s="132" t="s">
        <v>377</v>
      </c>
      <c r="D5" s="132" t="s">
        <v>372</v>
      </c>
      <c r="E5" s="132" t="s">
        <v>24</v>
      </c>
      <c r="F5" s="132" t="s">
        <v>372</v>
      </c>
      <c r="G5" s="170"/>
      <c r="H5" s="170"/>
      <c r="I5" s="170"/>
    </row>
    <row r="6" spans="1:9" s="2" customFormat="1">
      <c r="A6" s="3"/>
      <c r="B6" s="3">
        <v>1</v>
      </c>
      <c r="C6" s="3">
        <v>2</v>
      </c>
      <c r="D6" s="3">
        <v>3</v>
      </c>
      <c r="E6" s="3">
        <v>4</v>
      </c>
      <c r="F6" s="3">
        <v>5</v>
      </c>
      <c r="G6" s="3">
        <v>6</v>
      </c>
      <c r="H6" s="3">
        <v>7</v>
      </c>
      <c r="I6" s="3">
        <v>8</v>
      </c>
    </row>
    <row r="7" spans="1:9" ht="30" customHeight="1">
      <c r="A7" s="10" t="s">
        <v>22</v>
      </c>
      <c r="B7" s="15" t="s">
        <v>182</v>
      </c>
      <c r="C7" s="14"/>
      <c r="D7" s="27"/>
      <c r="E7" s="28"/>
      <c r="F7" s="26"/>
      <c r="G7" s="25"/>
      <c r="H7" s="25"/>
      <c r="I7" s="25"/>
    </row>
    <row r="8" spans="1:9" ht="93" customHeight="1">
      <c r="A8" s="85" t="s">
        <v>29</v>
      </c>
      <c r="B8" s="86" t="s">
        <v>68</v>
      </c>
      <c r="C8" s="14">
        <f>'PL 2.1'!C51</f>
        <v>89.771900000000002</v>
      </c>
      <c r="D8" s="27">
        <f>C8/50*100</f>
        <v>179.5438</v>
      </c>
      <c r="E8" s="28">
        <f>'PL 2.1'!E51</f>
        <v>5513</v>
      </c>
      <c r="F8" s="87">
        <f>E8/5000*100</f>
        <v>110.26</v>
      </c>
      <c r="G8" s="30" t="s">
        <v>373</v>
      </c>
      <c r="H8" s="131"/>
      <c r="I8" s="130" t="s">
        <v>378</v>
      </c>
    </row>
    <row r="9" spans="1:9" ht="75.75" customHeight="1">
      <c r="A9" s="171" t="s">
        <v>399</v>
      </c>
      <c r="B9" s="172"/>
      <c r="C9" s="172"/>
      <c r="D9" s="172"/>
      <c r="E9" s="172"/>
      <c r="F9" s="172"/>
      <c r="G9" s="172"/>
      <c r="H9" s="172"/>
      <c r="I9" s="172"/>
    </row>
    <row r="10" spans="1:9">
      <c r="E10" s="160"/>
      <c r="F10" s="160"/>
      <c r="G10" s="160"/>
      <c r="H10" s="160"/>
      <c r="I10" s="160"/>
    </row>
    <row r="11" spans="1:9">
      <c r="E11" s="160"/>
      <c r="F11" s="160"/>
      <c r="G11" s="160"/>
      <c r="H11" s="160"/>
      <c r="I11" s="160"/>
    </row>
    <row r="24" spans="1:1">
      <c r="A24"/>
    </row>
    <row r="25" spans="1:1">
      <c r="A25"/>
    </row>
    <row r="26" spans="1:1">
      <c r="A26"/>
    </row>
    <row r="27" spans="1:1">
      <c r="A27"/>
    </row>
    <row r="28" spans="1:1">
      <c r="A28"/>
    </row>
  </sheetData>
  <mergeCells count="13">
    <mergeCell ref="A9:I9"/>
    <mergeCell ref="E10:I10"/>
    <mergeCell ref="E11:I11"/>
    <mergeCell ref="A2:C2"/>
    <mergeCell ref="D2:I2"/>
    <mergeCell ref="A3:I3"/>
    <mergeCell ref="A4:A5"/>
    <mergeCell ref="B4:B5"/>
    <mergeCell ref="C4:D4"/>
    <mergeCell ref="E4:F4"/>
    <mergeCell ref="G4:G5"/>
    <mergeCell ref="H4:H5"/>
    <mergeCell ref="I4:I5"/>
  </mergeCells>
  <pageMargins left="0.31496062992125984" right="0.11811023622047245" top="0.55118110236220474" bottom="0.55118110236220474"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view="pageBreakPreview" zoomScale="85" zoomScaleNormal="85" zoomScaleSheetLayoutView="85" workbookViewId="0">
      <pane xSplit="11" ySplit="7" topLeftCell="L8" activePane="bottomRight" state="frozen"/>
      <selection pane="topRight" activeCell="M1" sqref="M1"/>
      <selection pane="bottomLeft" activeCell="A11" sqref="A11"/>
      <selection pane="bottomRight" activeCell="E10" sqref="E10"/>
    </sheetView>
  </sheetViews>
  <sheetFormatPr defaultRowHeight="15.5"/>
  <cols>
    <col min="1" max="1" width="5.58203125" style="16" customWidth="1"/>
    <col min="2" max="2" width="16.75" customWidth="1"/>
    <col min="3" max="3" width="32.75" customWidth="1"/>
    <col min="4" max="4" width="8.58203125" style="16" customWidth="1"/>
    <col min="5" max="5" width="9.08203125" customWidth="1"/>
    <col min="6" max="8" width="8.58203125" customWidth="1"/>
    <col min="9" max="10" width="8.08203125" customWidth="1"/>
    <col min="11" max="11" width="16.83203125" style="83" customWidth="1"/>
  </cols>
  <sheetData>
    <row r="1" spans="1:14">
      <c r="A1" s="33"/>
      <c r="B1" s="34"/>
      <c r="C1" s="34"/>
      <c r="D1" s="33"/>
      <c r="E1" s="34"/>
      <c r="F1" s="34"/>
      <c r="G1" s="34"/>
      <c r="H1" s="34"/>
      <c r="I1" s="175" t="s">
        <v>217</v>
      </c>
      <c r="J1" s="175"/>
      <c r="K1" s="175"/>
    </row>
    <row r="2" spans="1:14">
      <c r="A2" s="161" t="s">
        <v>0</v>
      </c>
      <c r="B2" s="161"/>
      <c r="C2" s="161"/>
      <c r="D2" s="161"/>
      <c r="E2" s="161"/>
      <c r="F2" s="176"/>
      <c r="G2" s="176"/>
      <c r="H2" s="176"/>
      <c r="I2" s="176"/>
      <c r="J2" s="176"/>
      <c r="K2" s="176"/>
    </row>
    <row r="3" spans="1:14" ht="35.25" customHeight="1">
      <c r="A3" s="177" t="s">
        <v>383</v>
      </c>
      <c r="B3" s="175"/>
      <c r="C3" s="175"/>
      <c r="D3" s="175"/>
      <c r="E3" s="175"/>
      <c r="F3" s="175"/>
      <c r="G3" s="175"/>
      <c r="H3" s="175"/>
      <c r="I3" s="175"/>
      <c r="J3" s="175"/>
      <c r="K3" s="175"/>
    </row>
    <row r="4" spans="1:14" ht="33" customHeight="1">
      <c r="A4" s="164" t="s">
        <v>4</v>
      </c>
      <c r="B4" s="165" t="s">
        <v>214</v>
      </c>
      <c r="C4" s="165" t="s">
        <v>215</v>
      </c>
      <c r="D4" s="165" t="s">
        <v>216</v>
      </c>
      <c r="E4" s="164" t="s">
        <v>2</v>
      </c>
      <c r="F4" s="164"/>
      <c r="G4" s="178" t="s">
        <v>218</v>
      </c>
      <c r="H4" s="179"/>
      <c r="I4" s="165" t="s">
        <v>5</v>
      </c>
      <c r="J4" s="165" t="s">
        <v>6</v>
      </c>
      <c r="K4" s="164" t="s">
        <v>25</v>
      </c>
    </row>
    <row r="5" spans="1:14" ht="74.25" customHeight="1">
      <c r="A5" s="164"/>
      <c r="B5" s="166"/>
      <c r="C5" s="166"/>
      <c r="D5" s="166"/>
      <c r="E5" s="35" t="s">
        <v>255</v>
      </c>
      <c r="F5" s="35" t="s">
        <v>44</v>
      </c>
      <c r="G5" s="35" t="s">
        <v>24</v>
      </c>
      <c r="H5" s="35" t="s">
        <v>44</v>
      </c>
      <c r="I5" s="166"/>
      <c r="J5" s="166"/>
      <c r="K5" s="164"/>
    </row>
    <row r="6" spans="1:14" s="2" customFormat="1">
      <c r="A6" s="36"/>
      <c r="B6" s="36">
        <v>1</v>
      </c>
      <c r="C6" s="36"/>
      <c r="D6" s="36">
        <v>2</v>
      </c>
      <c r="E6" s="36">
        <v>3</v>
      </c>
      <c r="F6" s="36">
        <v>4</v>
      </c>
      <c r="G6" s="36">
        <v>5</v>
      </c>
      <c r="H6" s="36">
        <v>6</v>
      </c>
      <c r="I6" s="36">
        <v>7</v>
      </c>
      <c r="J6" s="36">
        <v>8</v>
      </c>
      <c r="K6" s="36">
        <v>9</v>
      </c>
    </row>
    <row r="7" spans="1:14" ht="25" customHeight="1">
      <c r="A7" s="37" t="s">
        <v>22</v>
      </c>
      <c r="B7" s="38"/>
      <c r="C7" s="38" t="s">
        <v>23</v>
      </c>
      <c r="D7" s="37"/>
      <c r="E7" s="39">
        <f>E9+E10+E11</f>
        <v>155.8715</v>
      </c>
      <c r="F7" s="39"/>
      <c r="G7" s="40">
        <f t="shared" ref="G7" si="0">G9+G10+G11</f>
        <v>155113</v>
      </c>
      <c r="H7" s="41"/>
      <c r="I7" s="42"/>
      <c r="J7" s="42"/>
      <c r="K7" s="77"/>
    </row>
    <row r="8" spans="1:14" ht="25" customHeight="1">
      <c r="A8" s="37">
        <v>1</v>
      </c>
      <c r="B8" s="38" t="s">
        <v>28</v>
      </c>
      <c r="C8" s="38"/>
      <c r="D8" s="37"/>
      <c r="E8" s="39"/>
      <c r="F8" s="48"/>
      <c r="G8" s="40"/>
      <c r="H8" s="41"/>
      <c r="I8" s="42"/>
      <c r="J8" s="42"/>
      <c r="K8" s="77"/>
    </row>
    <row r="9" spans="1:14" ht="86.25" customHeight="1">
      <c r="A9" s="43" t="s">
        <v>29</v>
      </c>
      <c r="B9" s="49" t="s">
        <v>243</v>
      </c>
      <c r="C9" s="49" t="s">
        <v>256</v>
      </c>
      <c r="D9" s="50">
        <v>7</v>
      </c>
      <c r="E9" s="157">
        <v>41.35</v>
      </c>
      <c r="F9" s="46">
        <f>E9/5.5*100</f>
        <v>751.81818181818187</v>
      </c>
      <c r="G9" s="47">
        <f>'PL 2.1'!E9+'PL 2.1'!E11+'PL 2.1'!E18+'PL 2.1'!E19+'PL 2.1'!E22+'PL 2.1'!E23+'PL 2.1'!E24+'PL 2.1'!E25</f>
        <v>84196</v>
      </c>
      <c r="H9" s="46">
        <f>G9/21000*100</f>
        <v>400.93333333333334</v>
      </c>
      <c r="I9" s="51"/>
      <c r="J9" s="51"/>
      <c r="K9" s="78"/>
    </row>
    <row r="10" spans="1:14" ht="50.15" customHeight="1">
      <c r="A10" s="43" t="s">
        <v>30</v>
      </c>
      <c r="B10" s="49" t="s">
        <v>257</v>
      </c>
      <c r="C10" s="49" t="s">
        <v>258</v>
      </c>
      <c r="D10" s="50">
        <v>2</v>
      </c>
      <c r="E10" s="46">
        <f>'PL 2.1'!C10+'PL 2.1'!C12+'PL 2.1'!C17</f>
        <v>26.491499999999998</v>
      </c>
      <c r="F10" s="46">
        <f>E10/5.5*100</f>
        <v>481.66363636363639</v>
      </c>
      <c r="G10" s="47">
        <f>'PL 2.1'!E10+'PL 2.1'!E12+'PL 2.1'!E17</f>
        <v>38521</v>
      </c>
      <c r="H10" s="46">
        <f>G10/21000*100</f>
        <v>183.43333333333334</v>
      </c>
      <c r="I10" s="51"/>
      <c r="J10" s="51"/>
      <c r="K10" s="78"/>
    </row>
    <row r="11" spans="1:14" ht="50.15" customHeight="1">
      <c r="A11" s="43" t="s">
        <v>31</v>
      </c>
      <c r="B11" s="49" t="s">
        <v>10</v>
      </c>
      <c r="C11" s="49" t="s">
        <v>259</v>
      </c>
      <c r="D11" s="50">
        <v>3</v>
      </c>
      <c r="E11" s="157">
        <v>88.03</v>
      </c>
      <c r="F11" s="46">
        <f>E11/5.5*100</f>
        <v>1600.5454545454545</v>
      </c>
      <c r="G11" s="47">
        <f>'PL 2.1'!E14+'PL 2.1'!E13+'PL 2.1'!E21+'PL 2.1'!E20</f>
        <v>32396</v>
      </c>
      <c r="H11" s="46">
        <f>G11/21000*100</f>
        <v>154.26666666666665</v>
      </c>
      <c r="I11" s="51"/>
      <c r="J11" s="51"/>
      <c r="K11" s="78"/>
    </row>
    <row r="12" spans="1:14" ht="25" customHeight="1">
      <c r="A12" s="37" t="s">
        <v>45</v>
      </c>
      <c r="B12" s="52"/>
      <c r="C12" s="52" t="s">
        <v>260</v>
      </c>
      <c r="D12" s="37"/>
      <c r="E12" s="39">
        <f>E14+E15+E17+E18</f>
        <v>162.30119999999999</v>
      </c>
      <c r="F12" s="39"/>
      <c r="G12" s="40">
        <f t="shared" ref="G12" si="1">G14+G15+G17+G18</f>
        <v>125775</v>
      </c>
      <c r="H12" s="52"/>
      <c r="I12" s="52"/>
      <c r="J12" s="52"/>
      <c r="K12" s="79"/>
      <c r="N12" s="31"/>
    </row>
    <row r="13" spans="1:14" ht="25" customHeight="1">
      <c r="A13" s="37">
        <v>1</v>
      </c>
      <c r="B13" s="52" t="s">
        <v>26</v>
      </c>
      <c r="C13" s="52"/>
      <c r="D13" s="37"/>
      <c r="E13" s="39"/>
      <c r="F13" s="39"/>
      <c r="G13" s="40"/>
      <c r="H13" s="52"/>
      <c r="I13" s="52"/>
      <c r="J13" s="52"/>
      <c r="K13" s="79"/>
      <c r="N13" s="31"/>
    </row>
    <row r="14" spans="1:14" ht="50.15" customHeight="1">
      <c r="A14" s="43" t="s">
        <v>29</v>
      </c>
      <c r="B14" s="44" t="s">
        <v>261</v>
      </c>
      <c r="C14" s="44" t="s">
        <v>262</v>
      </c>
      <c r="D14" s="43">
        <v>3</v>
      </c>
      <c r="E14" s="46">
        <f>'PL 2.1'!C28+'PL 2.1'!C29+'PL 2.1'!C30+'PL 2.1'!C31</f>
        <v>34.4221</v>
      </c>
      <c r="F14" s="46">
        <f>E14/30*100</f>
        <v>114.74033333333334</v>
      </c>
      <c r="G14" s="47">
        <f>'PL 2.1'!E28+'PL 2.1'!E29+'PL 2.1'!E30+'PL 2.1'!E31</f>
        <v>36527</v>
      </c>
      <c r="H14" s="53">
        <f>G14/16000*100</f>
        <v>228.29375000000002</v>
      </c>
      <c r="I14" s="54"/>
      <c r="J14" s="54"/>
      <c r="K14" s="80"/>
      <c r="N14" s="31"/>
    </row>
    <row r="15" spans="1:14" ht="50.15" customHeight="1">
      <c r="A15" s="43" t="s">
        <v>30</v>
      </c>
      <c r="B15" s="44" t="s">
        <v>263</v>
      </c>
      <c r="C15" s="44" t="s">
        <v>264</v>
      </c>
      <c r="D15" s="43">
        <v>4</v>
      </c>
      <c r="E15" s="46">
        <f>'PL 2.1'!C34+'PL 2.1'!C35+'PL 2.1'!C36+'PL 2.1'!C32+'PL 2.1'!C33</f>
        <v>76.2988</v>
      </c>
      <c r="F15" s="46">
        <f>E15/30*100</f>
        <v>254.32933333333332</v>
      </c>
      <c r="G15" s="47">
        <f>'PL 2.1'!E34+'PL 2.1'!E35+'PL 2.1'!E36+'PL 2.1'!E32+'PL 2.1'!E33</f>
        <v>27643</v>
      </c>
      <c r="H15" s="53">
        <f>G15/16000*100</f>
        <v>172.76875000000001</v>
      </c>
      <c r="I15" s="54"/>
      <c r="J15" s="54"/>
      <c r="K15" s="80"/>
      <c r="N15" s="31"/>
    </row>
    <row r="16" spans="1:14" ht="25" customHeight="1">
      <c r="A16" s="37">
        <v>2</v>
      </c>
      <c r="B16" s="38" t="s">
        <v>28</v>
      </c>
      <c r="C16" s="38"/>
      <c r="D16" s="43"/>
      <c r="E16" s="46"/>
      <c r="F16" s="46"/>
      <c r="G16" s="47"/>
      <c r="H16" s="54"/>
      <c r="I16" s="54"/>
      <c r="J16" s="54"/>
      <c r="K16" s="80"/>
      <c r="N16" s="31"/>
    </row>
    <row r="17" spans="1:14" ht="50.15" customHeight="1">
      <c r="A17" s="43" t="s">
        <v>185</v>
      </c>
      <c r="B17" s="44" t="s">
        <v>50</v>
      </c>
      <c r="C17" s="44" t="s">
        <v>250</v>
      </c>
      <c r="D17" s="43">
        <v>3</v>
      </c>
      <c r="E17" s="46">
        <f>'PL 2.1'!C37+'PL 2.1'!C45+'PL 2.1'!C44+'PL 2.1'!C43</f>
        <v>20.449300000000001</v>
      </c>
      <c r="F17" s="46">
        <f>E17/5.5*100</f>
        <v>371.80545454545455</v>
      </c>
      <c r="G17" s="47">
        <f>'PL 2.1'!E37+'PL 2.1'!E45+'PL 2.1'!E44+'PL 2.1'!E43</f>
        <v>28805</v>
      </c>
      <c r="H17" s="53">
        <f>G17/21000*100</f>
        <v>137.16666666666666</v>
      </c>
      <c r="I17" s="54"/>
      <c r="J17" s="54"/>
      <c r="K17" s="80"/>
      <c r="N17" s="31"/>
    </row>
    <row r="18" spans="1:14" ht="50.15" customHeight="1">
      <c r="A18" s="43" t="s">
        <v>203</v>
      </c>
      <c r="B18" s="44" t="s">
        <v>265</v>
      </c>
      <c r="C18" s="44" t="s">
        <v>251</v>
      </c>
      <c r="D18" s="43">
        <v>2</v>
      </c>
      <c r="E18" s="46">
        <f>'PL 2.1'!C40+'PL 2.1'!C41+'PL 2.1'!C42</f>
        <v>31.131</v>
      </c>
      <c r="F18" s="46">
        <f>E18/5.5*100</f>
        <v>566.0181818181818</v>
      </c>
      <c r="G18" s="47">
        <f>'PL 2.1'!E40+'PL 2.1'!E41+'PL 2.1'!E42</f>
        <v>32800</v>
      </c>
      <c r="H18" s="53">
        <f>G18/21000*100</f>
        <v>156.1904761904762</v>
      </c>
      <c r="I18" s="54"/>
      <c r="J18" s="54"/>
      <c r="K18" s="80"/>
      <c r="N18" s="31"/>
    </row>
    <row r="19" spans="1:14" s="32" customFormat="1" ht="35.25" customHeight="1">
      <c r="A19" s="37" t="s">
        <v>181</v>
      </c>
      <c r="B19" s="52"/>
      <c r="C19" s="52" t="s">
        <v>182</v>
      </c>
      <c r="D19" s="37"/>
      <c r="E19" s="56"/>
      <c r="F19" s="56"/>
      <c r="G19" s="57"/>
      <c r="H19" s="52"/>
      <c r="I19" s="52"/>
      <c r="J19" s="52"/>
      <c r="K19" s="79"/>
    </row>
    <row r="20" spans="1:14" s="32" customFormat="1" ht="35.25" customHeight="1">
      <c r="A20" s="37">
        <v>1</v>
      </c>
      <c r="B20" s="38" t="s">
        <v>26</v>
      </c>
      <c r="C20" s="38"/>
      <c r="D20" s="37"/>
      <c r="E20" s="39">
        <f>SUM(E21:E25)</f>
        <v>1393.7538</v>
      </c>
      <c r="F20" s="39"/>
      <c r="G20" s="40">
        <f t="shared" ref="G20" si="2">SUM(G21:G25)</f>
        <v>61745</v>
      </c>
      <c r="H20" s="41"/>
      <c r="I20" s="42"/>
      <c r="J20" s="42"/>
      <c r="K20" s="77"/>
    </row>
    <row r="21" spans="1:14" s="32" customFormat="1" ht="52" customHeight="1">
      <c r="A21" s="43" t="s">
        <v>29</v>
      </c>
      <c r="B21" s="44" t="s">
        <v>64</v>
      </c>
      <c r="C21" s="44" t="s">
        <v>246</v>
      </c>
      <c r="D21" s="45">
        <v>1</v>
      </c>
      <c r="E21" s="58">
        <f>'PL 2.1'!C48+'PL 2.1'!C49</f>
        <v>365.0025</v>
      </c>
      <c r="F21" s="58">
        <f>E21/100*100</f>
        <v>365.0025</v>
      </c>
      <c r="G21" s="47">
        <f>'PL 2.1'!E48+'PL 2.1'!E49</f>
        <v>9532</v>
      </c>
      <c r="H21" s="53">
        <f>G21/5000*100</f>
        <v>190.64000000000001</v>
      </c>
      <c r="I21" s="37" t="s">
        <v>65</v>
      </c>
      <c r="J21" s="51"/>
      <c r="K21" s="81"/>
    </row>
    <row r="22" spans="1:14" s="32" customFormat="1" ht="52" customHeight="1">
      <c r="A22" s="43" t="s">
        <v>30</v>
      </c>
      <c r="B22" s="44" t="s">
        <v>244</v>
      </c>
      <c r="C22" s="44" t="s">
        <v>247</v>
      </c>
      <c r="D22" s="45">
        <v>1</v>
      </c>
      <c r="E22" s="58">
        <f>'PL 2.1'!C57+'PL 2.1'!C52</f>
        <v>229.428</v>
      </c>
      <c r="F22" s="58">
        <f>E22/100*100</f>
        <v>229.428</v>
      </c>
      <c r="G22" s="47">
        <f>'PL 2.1'!E57+'PL 2.1'!E52</f>
        <v>6165</v>
      </c>
      <c r="H22" s="53">
        <f>G22/5000*100</f>
        <v>123.30000000000001</v>
      </c>
      <c r="I22" s="37" t="s">
        <v>65</v>
      </c>
      <c r="J22" s="51"/>
      <c r="K22" s="81"/>
    </row>
    <row r="23" spans="1:14" s="32" customFormat="1" ht="52" customHeight="1">
      <c r="A23" s="43" t="s">
        <v>31</v>
      </c>
      <c r="B23" s="44" t="s">
        <v>245</v>
      </c>
      <c r="C23" s="44" t="s">
        <v>307</v>
      </c>
      <c r="D23" s="45">
        <v>3</v>
      </c>
      <c r="E23" s="58">
        <f>'PL 2.1'!C59+'PL 2.1'!C58+'PL 2.1'!C56+'PL 2.1'!C55</f>
        <v>552.57849999999996</v>
      </c>
      <c r="F23" s="58">
        <f>E23/100*100</f>
        <v>552.57849999999996</v>
      </c>
      <c r="G23" s="47">
        <f>'PL 2.1'!E59+'PL 2.1'!E58+'PL 2.1'!E56+'PL 2.1'!E55</f>
        <v>19054</v>
      </c>
      <c r="H23" s="53">
        <f>G23/5000*100</f>
        <v>381.08</v>
      </c>
      <c r="I23" s="37" t="s">
        <v>65</v>
      </c>
      <c r="J23" s="51"/>
      <c r="K23" s="81"/>
    </row>
    <row r="24" spans="1:14" s="32" customFormat="1" ht="52" customHeight="1">
      <c r="A24" s="43" t="s">
        <v>32</v>
      </c>
      <c r="B24" s="44" t="s">
        <v>72</v>
      </c>
      <c r="C24" s="44" t="s">
        <v>308</v>
      </c>
      <c r="D24" s="45">
        <v>3</v>
      </c>
      <c r="E24" s="58">
        <f>'PL 2.1'!C53+'PL 2.1'!C54+'PL 2.1'!C50+'PL 2.1'!C61</f>
        <v>156.97290000000001</v>
      </c>
      <c r="F24" s="58">
        <f>E24/30*100</f>
        <v>523.24299999999994</v>
      </c>
      <c r="G24" s="47">
        <f>'PL 2.1'!E53+'PL 2.1'!E54+'PL 2.1'!E50+'PL 2.1'!E61</f>
        <v>21481</v>
      </c>
      <c r="H24" s="53">
        <f>G24/16000*100</f>
        <v>134.25625000000002</v>
      </c>
      <c r="I24" s="37"/>
      <c r="J24" s="51"/>
      <c r="K24" s="81"/>
    </row>
    <row r="25" spans="1:14" s="32" customFormat="1" ht="52" customHeight="1">
      <c r="A25" s="43" t="s">
        <v>33</v>
      </c>
      <c r="B25" s="54" t="s">
        <v>68</v>
      </c>
      <c r="C25" s="54" t="s">
        <v>248</v>
      </c>
      <c r="D25" s="43">
        <v>0</v>
      </c>
      <c r="E25" s="53">
        <f>'PL 2.1'!C51</f>
        <v>89.771900000000002</v>
      </c>
      <c r="F25" s="53">
        <f>E25/100*100</f>
        <v>89.771900000000002</v>
      </c>
      <c r="G25" s="47">
        <f>'PL 2.1'!E51</f>
        <v>5513</v>
      </c>
      <c r="H25" s="58">
        <f>G25/5000*100</f>
        <v>110.26</v>
      </c>
      <c r="I25" s="37" t="s">
        <v>65</v>
      </c>
      <c r="J25" s="51"/>
      <c r="K25" s="133" t="s">
        <v>382</v>
      </c>
    </row>
    <row r="26" spans="1:14" s="34" customFormat="1" ht="25" customHeight="1">
      <c r="A26" s="37" t="s">
        <v>186</v>
      </c>
      <c r="B26" s="52"/>
      <c r="C26" s="38" t="s">
        <v>187</v>
      </c>
      <c r="D26" s="37"/>
      <c r="E26" s="59">
        <f>SUM(E28:E33)</f>
        <v>1128.7494000000002</v>
      </c>
      <c r="F26" s="59"/>
      <c r="G26" s="60">
        <f t="shared" ref="G26" si="3">SUM(G28:G33)</f>
        <v>95543</v>
      </c>
      <c r="H26" s="59"/>
      <c r="I26" s="38"/>
      <c r="J26" s="38"/>
      <c r="K26" s="82"/>
    </row>
    <row r="27" spans="1:14" s="34" customFormat="1" ht="25" customHeight="1">
      <c r="A27" s="37">
        <v>1</v>
      </c>
      <c r="B27" s="52" t="s">
        <v>26</v>
      </c>
      <c r="C27" s="38"/>
      <c r="D27" s="37"/>
      <c r="E27" s="51"/>
      <c r="F27" s="51"/>
      <c r="G27" s="51"/>
      <c r="H27" s="51"/>
      <c r="I27" s="51"/>
      <c r="J27" s="51"/>
      <c r="K27" s="78"/>
    </row>
    <row r="28" spans="1:14" s="34" customFormat="1" ht="50.15" customHeight="1">
      <c r="A28" s="43" t="s">
        <v>29</v>
      </c>
      <c r="B28" s="54" t="s">
        <v>266</v>
      </c>
      <c r="C28" s="61" t="s">
        <v>232</v>
      </c>
      <c r="D28" s="43">
        <v>1</v>
      </c>
      <c r="E28" s="62">
        <f>'PL 2.1'!C68+'PL 2.1'!C64</f>
        <v>235.2029</v>
      </c>
      <c r="F28" s="55">
        <f>E28/100*100</f>
        <v>235.2029</v>
      </c>
      <c r="G28" s="63">
        <f>'PL 2.1'!E68+'PL 2.1'!E64</f>
        <v>8401</v>
      </c>
      <c r="H28" s="51">
        <f>G28/5000*100</f>
        <v>168.01999999999998</v>
      </c>
      <c r="I28" s="37" t="s">
        <v>65</v>
      </c>
      <c r="J28" s="51"/>
      <c r="K28" s="84"/>
    </row>
    <row r="29" spans="1:14" s="34" customFormat="1" ht="50.15" customHeight="1">
      <c r="A29" s="43" t="s">
        <v>30</v>
      </c>
      <c r="B29" s="54" t="s">
        <v>267</v>
      </c>
      <c r="C29" s="61" t="s">
        <v>233</v>
      </c>
      <c r="D29" s="43">
        <v>1</v>
      </c>
      <c r="E29" s="62">
        <f>'PL 2.1'!C72+'PL 2.1'!C79</f>
        <v>132.1403</v>
      </c>
      <c r="F29" s="62">
        <f>E29/30*100</f>
        <v>440.46766666666662</v>
      </c>
      <c r="G29" s="63">
        <f>'PL 2.1'!E72+'PL 2.1'!E79</f>
        <v>6738</v>
      </c>
      <c r="H29" s="62">
        <f>G29/16000*100</f>
        <v>42.112500000000004</v>
      </c>
      <c r="I29" s="51"/>
      <c r="J29" s="51"/>
      <c r="K29" s="134" t="s">
        <v>381</v>
      </c>
    </row>
    <row r="30" spans="1:14" s="34" customFormat="1" ht="50.15" customHeight="1">
      <c r="A30" s="43" t="s">
        <v>31</v>
      </c>
      <c r="B30" s="54" t="s">
        <v>242</v>
      </c>
      <c r="C30" s="61" t="s">
        <v>268</v>
      </c>
      <c r="D30" s="43">
        <v>4</v>
      </c>
      <c r="E30" s="62">
        <f>'PL 2.1'!C65+'PL 2.1'!C81+'PL 2.1'!C75+'PL 2.1'!C78+'PL 2.1'!C83</f>
        <v>291.93219999999997</v>
      </c>
      <c r="F30" s="62">
        <f>E30/30*100</f>
        <v>973.10733333333326</v>
      </c>
      <c r="G30" s="63">
        <f>'PL 2.1'!E65+'PL 2.1'!E81+'PL 2.1'!E75+'PL 2.1'!E78+'PL 2.1'!E83</f>
        <v>24533</v>
      </c>
      <c r="H30" s="62">
        <f>G30/16000*100</f>
        <v>153.33125000000001</v>
      </c>
      <c r="I30" s="51"/>
      <c r="J30" s="51"/>
      <c r="K30" s="78"/>
    </row>
    <row r="31" spans="1:14" s="34" customFormat="1" ht="50.15" customHeight="1">
      <c r="A31" s="43" t="s">
        <v>32</v>
      </c>
      <c r="B31" s="54" t="s">
        <v>269</v>
      </c>
      <c r="C31" s="61" t="s">
        <v>270</v>
      </c>
      <c r="D31" s="43">
        <v>2</v>
      </c>
      <c r="E31" s="62">
        <f>'PL 2.1'!C69+'PL 2.1'!C66+'PL 2.1'!C77</f>
        <v>155.36959999999999</v>
      </c>
      <c r="F31" s="62">
        <f>E31/30*100</f>
        <v>517.8986666666666</v>
      </c>
      <c r="G31" s="63">
        <f>'PL 2.1'!E69+'PL 2.1'!E66+'PL 2.1'!E77</f>
        <v>18800</v>
      </c>
      <c r="H31" s="62">
        <f>G31/16000*100</f>
        <v>117.5</v>
      </c>
      <c r="I31" s="51"/>
      <c r="J31" s="51"/>
      <c r="K31" s="78"/>
    </row>
    <row r="32" spans="1:14" s="34" customFormat="1" ht="50.15" customHeight="1">
      <c r="A32" s="43" t="s">
        <v>33</v>
      </c>
      <c r="B32" s="54" t="s">
        <v>271</v>
      </c>
      <c r="C32" s="61" t="s">
        <v>272</v>
      </c>
      <c r="D32" s="43">
        <v>2</v>
      </c>
      <c r="E32" s="62">
        <f>'PL 2.1'!C70+'PL 2.1'!C67+'PL 2.1'!C74</f>
        <v>119.19450000000001</v>
      </c>
      <c r="F32" s="62">
        <f>E32/30*100</f>
        <v>397.315</v>
      </c>
      <c r="G32" s="63">
        <f>'PL 2.1'!E70+'PL 2.1'!E67+'PL 2.1'!E74</f>
        <v>15619</v>
      </c>
      <c r="H32" s="62">
        <f>G32/16000*100</f>
        <v>97.618750000000006</v>
      </c>
      <c r="I32" s="51"/>
      <c r="J32" s="51"/>
      <c r="K32" s="78"/>
    </row>
    <row r="33" spans="1:11" s="73" customFormat="1" ht="50.15" customHeight="1">
      <c r="A33" s="43" t="s">
        <v>34</v>
      </c>
      <c r="B33" s="51" t="s">
        <v>273</v>
      </c>
      <c r="C33" s="61" t="s">
        <v>274</v>
      </c>
      <c r="D33" s="43">
        <v>3</v>
      </c>
      <c r="E33" s="62">
        <f>'PL 2.1'!C76+'PL 2.1'!C71+'PL 2.1'!C80+'PL 2.1'!C73</f>
        <v>194.90989999999999</v>
      </c>
      <c r="F33" s="62">
        <f>E33/30*100</f>
        <v>649.69966666666664</v>
      </c>
      <c r="G33" s="63">
        <f>'PL 2.1'!E76+'PL 2.1'!E71+'PL 2.1'!E80+'PL 2.1'!E73</f>
        <v>21452</v>
      </c>
      <c r="H33" s="62">
        <f>G33/16000*100</f>
        <v>134.07500000000002</v>
      </c>
      <c r="I33" s="51"/>
      <c r="J33" s="51"/>
      <c r="K33" s="78"/>
    </row>
    <row r="34" spans="1:11" s="34" customFormat="1" ht="25" customHeight="1">
      <c r="A34" s="37" t="s">
        <v>194</v>
      </c>
      <c r="B34" s="38"/>
      <c r="C34" s="38" t="s">
        <v>195</v>
      </c>
      <c r="D34" s="37"/>
      <c r="E34" s="59"/>
      <c r="F34" s="59"/>
      <c r="G34" s="60"/>
      <c r="H34" s="38"/>
      <c r="I34" s="38"/>
      <c r="J34" s="38"/>
      <c r="K34" s="82"/>
    </row>
    <row r="35" spans="1:11" s="34" customFormat="1" ht="25" customHeight="1">
      <c r="A35" s="37">
        <v>1</v>
      </c>
      <c r="B35" s="38" t="s">
        <v>26</v>
      </c>
      <c r="C35" s="38"/>
      <c r="D35" s="37"/>
      <c r="E35" s="51"/>
      <c r="F35" s="51"/>
      <c r="G35" s="51"/>
      <c r="H35" s="51"/>
      <c r="I35" s="51"/>
      <c r="J35" s="51"/>
      <c r="K35" s="78"/>
    </row>
    <row r="36" spans="1:11" s="34" customFormat="1" ht="50.15" customHeight="1">
      <c r="A36" s="12" t="s">
        <v>29</v>
      </c>
      <c r="B36" s="13" t="s">
        <v>379</v>
      </c>
      <c r="C36" s="13" t="s">
        <v>275</v>
      </c>
      <c r="D36" s="12">
        <v>2</v>
      </c>
      <c r="E36" s="75">
        <f>'PL 2.1'!C100+'PL 2.1'!C98+'PL 2.1'!C101</f>
        <v>41.045699999999989</v>
      </c>
      <c r="F36" s="75">
        <f>E36/30*100</f>
        <v>136.81899999999996</v>
      </c>
      <c r="G36" s="17">
        <f>'PL 2.1'!E100+'PL 2.1'!E98+'PL 2.1'!E101</f>
        <v>22395</v>
      </c>
      <c r="H36" s="76">
        <f>G36/16000*100</f>
        <v>139.96875</v>
      </c>
      <c r="I36" s="74"/>
      <c r="J36" s="74"/>
      <c r="K36" s="78"/>
    </row>
    <row r="37" spans="1:11" s="34" customFormat="1" ht="50.15" customHeight="1">
      <c r="A37" s="12" t="s">
        <v>30</v>
      </c>
      <c r="B37" s="74" t="s">
        <v>235</v>
      </c>
      <c r="C37" s="13" t="s">
        <v>236</v>
      </c>
      <c r="D37" s="12">
        <v>2</v>
      </c>
      <c r="E37" s="75">
        <f>'PL 2.1'!C92+'PL 2.1'!C91+'PL 2.1'!C95</f>
        <v>98.827500000000001</v>
      </c>
      <c r="F37" s="75">
        <f>E37/30*100</f>
        <v>329.42500000000001</v>
      </c>
      <c r="G37" s="17">
        <f>'PL 2.1'!E92+'PL 2.1'!E91+'PL 2.1'!E95</f>
        <v>16331</v>
      </c>
      <c r="H37" s="76">
        <f>G37/16000*100</f>
        <v>102.06874999999999</v>
      </c>
      <c r="I37" s="74"/>
      <c r="J37" s="74"/>
      <c r="K37" s="78"/>
    </row>
    <row r="38" spans="1:11" s="34" customFormat="1" ht="50.15" customHeight="1">
      <c r="A38" s="12" t="s">
        <v>31</v>
      </c>
      <c r="B38" s="74" t="s">
        <v>237</v>
      </c>
      <c r="C38" s="13" t="s">
        <v>276</v>
      </c>
      <c r="D38" s="12">
        <v>2</v>
      </c>
      <c r="E38" s="75">
        <f>'PL 2.1'!C99+'PL 2.1'!C97+'PL 2.1'!C96</f>
        <v>56.639600000000002</v>
      </c>
      <c r="F38" s="75">
        <f>E38/30*100</f>
        <v>188.79866666666666</v>
      </c>
      <c r="G38" s="17">
        <f>'PL 2.1'!E99+'PL 2.1'!E97+'PL 2.1'!E96</f>
        <v>31422</v>
      </c>
      <c r="H38" s="76">
        <f>G38/16000*100</f>
        <v>196.38750000000002</v>
      </c>
      <c r="I38" s="74"/>
      <c r="J38" s="74"/>
      <c r="K38" s="78"/>
    </row>
    <row r="39" spans="1:11" s="34" customFormat="1" ht="50.15" customHeight="1">
      <c r="A39" s="12" t="s">
        <v>32</v>
      </c>
      <c r="B39" s="74" t="s">
        <v>136</v>
      </c>
      <c r="C39" s="13" t="s">
        <v>234</v>
      </c>
      <c r="D39" s="12">
        <v>2</v>
      </c>
      <c r="E39" s="75">
        <f>'PL 2.1'!C90+'PL 2.1'!C93+'PL 2.1'!C94</f>
        <v>52.675500000000007</v>
      </c>
      <c r="F39" s="75">
        <f>E39/30*100</f>
        <v>175.58500000000001</v>
      </c>
      <c r="G39" s="17">
        <f>'PL 2.1'!E90+'PL 2.1'!E93+'PL 2.1'!E94</f>
        <v>29901</v>
      </c>
      <c r="H39" s="76">
        <f>G39/16000*100</f>
        <v>186.88124999999999</v>
      </c>
      <c r="I39" s="74"/>
      <c r="J39" s="74"/>
      <c r="K39" s="78"/>
    </row>
    <row r="40" spans="1:11" s="34" customFormat="1" ht="50.15" customHeight="1">
      <c r="A40" s="12" t="s">
        <v>33</v>
      </c>
      <c r="B40" s="74" t="s">
        <v>277</v>
      </c>
      <c r="C40" s="13" t="s">
        <v>278</v>
      </c>
      <c r="D40" s="12">
        <v>3</v>
      </c>
      <c r="E40" s="75">
        <f>'PL 2.1'!C88+'PL 2.1'!C89+'PL 2.1'!C87+'PL 2.1'!C86</f>
        <v>197.423</v>
      </c>
      <c r="F40" s="75">
        <f>E40/30*100</f>
        <v>658.0766666666666</v>
      </c>
      <c r="G40" s="17">
        <f>'PL 2.1'!E88+'PL 2.1'!E89+'PL 2.1'!E87+'PL 2.1'!E86</f>
        <v>30850</v>
      </c>
      <c r="H40" s="76">
        <f>G40/16000*100</f>
        <v>192.8125</v>
      </c>
      <c r="I40" s="74"/>
      <c r="J40" s="74"/>
      <c r="K40" s="78"/>
    </row>
    <row r="41" spans="1:11" s="34" customFormat="1" ht="25" customHeight="1">
      <c r="A41" s="37" t="s">
        <v>196</v>
      </c>
      <c r="B41" s="38"/>
      <c r="C41" s="38" t="s">
        <v>279</v>
      </c>
      <c r="D41" s="37"/>
      <c r="E41" s="59">
        <f>SUM(E43:E49)</f>
        <v>2115.4911000000002</v>
      </c>
      <c r="F41" s="59"/>
      <c r="G41" s="60">
        <f t="shared" ref="G41" si="4">SUM(G43:G49)</f>
        <v>223282</v>
      </c>
      <c r="H41" s="38"/>
      <c r="I41" s="38"/>
      <c r="J41" s="38"/>
      <c r="K41" s="82"/>
    </row>
    <row r="42" spans="1:11" s="34" customFormat="1" ht="25" customHeight="1">
      <c r="A42" s="37">
        <v>1</v>
      </c>
      <c r="B42" s="38" t="s">
        <v>26</v>
      </c>
      <c r="C42" s="38"/>
      <c r="D42" s="37"/>
      <c r="E42" s="59"/>
      <c r="F42" s="59"/>
      <c r="G42" s="60"/>
      <c r="H42" s="38"/>
      <c r="I42" s="38"/>
      <c r="J42" s="38"/>
      <c r="K42" s="82"/>
    </row>
    <row r="43" spans="1:11" s="34" customFormat="1" ht="60" customHeight="1">
      <c r="A43" s="43" t="s">
        <v>29</v>
      </c>
      <c r="B43" s="51" t="s">
        <v>116</v>
      </c>
      <c r="C43" s="44" t="s">
        <v>249</v>
      </c>
      <c r="D43" s="43">
        <v>1</v>
      </c>
      <c r="E43" s="62">
        <f>'PL 2.1'!C111+'PL 2.1'!C106</f>
        <v>1095.7754</v>
      </c>
      <c r="F43" s="62">
        <f>E43/100*100</f>
        <v>1095.7754</v>
      </c>
      <c r="G43" s="63">
        <f>'PL 2.1'!E111+'PL 2.1'!E106</f>
        <v>3615</v>
      </c>
      <c r="H43" s="51">
        <f>G43/5000*100</f>
        <v>72.3</v>
      </c>
      <c r="I43" s="37" t="s">
        <v>65</v>
      </c>
      <c r="J43" s="38"/>
      <c r="K43" s="134" t="s">
        <v>380</v>
      </c>
    </row>
    <row r="44" spans="1:11" s="34" customFormat="1" ht="50.15" customHeight="1">
      <c r="A44" s="43" t="s">
        <v>30</v>
      </c>
      <c r="B44" s="51" t="s">
        <v>252</v>
      </c>
      <c r="C44" s="44" t="s">
        <v>280</v>
      </c>
      <c r="D44" s="43">
        <v>3</v>
      </c>
      <c r="E44" s="62">
        <f>'PL 2.1'!C114+'PL 2.1'!C105+'PL 2.1'!C107+'PL 2.1'!C131</f>
        <v>358.09749999999997</v>
      </c>
      <c r="F44" s="62">
        <f t="shared" ref="F44:F49" si="5">E44/30*100</f>
        <v>1193.6583333333333</v>
      </c>
      <c r="G44" s="63">
        <f>'PL 2.1'!E114+'PL 2.1'!E105+'PL 2.1'!E107+'PL 2.1'!E131</f>
        <v>39254</v>
      </c>
      <c r="H44" s="55">
        <f t="shared" ref="H44:H49" si="6">G44/16000*100</f>
        <v>245.33749999999998</v>
      </c>
      <c r="I44" s="38"/>
      <c r="J44" s="38"/>
      <c r="K44" s="82"/>
    </row>
    <row r="45" spans="1:11" s="34" customFormat="1" ht="50.15" customHeight="1">
      <c r="A45" s="43" t="s">
        <v>31</v>
      </c>
      <c r="B45" s="51" t="s">
        <v>128</v>
      </c>
      <c r="C45" s="44" t="s">
        <v>281</v>
      </c>
      <c r="D45" s="43">
        <v>3</v>
      </c>
      <c r="E45" s="62">
        <f>'PL 2.1'!C118+'PL 2.1'!C109+'PL 2.1'!C123+'PL 2.1'!C119</f>
        <v>97.605500000000006</v>
      </c>
      <c r="F45" s="62">
        <f t="shared" si="5"/>
        <v>325.35166666666669</v>
      </c>
      <c r="G45" s="63">
        <f>'PL 2.1'!E118+'PL 2.1'!E109+'PL 2.1'!E123+'PL 2.1'!E119</f>
        <v>36861</v>
      </c>
      <c r="H45" s="55">
        <f t="shared" si="6"/>
        <v>230.38124999999999</v>
      </c>
      <c r="I45" s="38"/>
      <c r="J45" s="38"/>
      <c r="K45" s="82"/>
    </row>
    <row r="46" spans="1:11" s="34" customFormat="1" ht="50.15" customHeight="1">
      <c r="A46" s="43" t="s">
        <v>32</v>
      </c>
      <c r="B46" s="51" t="s">
        <v>282</v>
      </c>
      <c r="C46" s="44" t="s">
        <v>283</v>
      </c>
      <c r="D46" s="43">
        <v>3</v>
      </c>
      <c r="E46" s="62">
        <f>'PL 2.1'!C110+'PL 2.1'!C125+'PL 2.1'!C117+'PL 2.1'!C122</f>
        <v>35.724399999999996</v>
      </c>
      <c r="F46" s="62">
        <f t="shared" si="5"/>
        <v>119.08133333333333</v>
      </c>
      <c r="G46" s="63">
        <f>'PL 2.1'!E110+'PL 2.1'!E125+'PL 2.1'!E117+'PL 2.1'!E122</f>
        <v>34174</v>
      </c>
      <c r="H46" s="55">
        <f t="shared" si="6"/>
        <v>213.58750000000001</v>
      </c>
      <c r="I46" s="38"/>
      <c r="J46" s="38"/>
      <c r="K46" s="82"/>
    </row>
    <row r="47" spans="1:11" s="34" customFormat="1" ht="53.15" customHeight="1">
      <c r="A47" s="43" t="s">
        <v>33</v>
      </c>
      <c r="B47" s="51" t="s">
        <v>284</v>
      </c>
      <c r="C47" s="44" t="s">
        <v>285</v>
      </c>
      <c r="D47" s="43">
        <v>4</v>
      </c>
      <c r="E47" s="62">
        <f>'PL 2.1'!C124+'PL 2.1'!C130+'PL 2.1'!C115+'PL 2.1'!C113+'PL 2.1'!C126</f>
        <v>99.036100000000005</v>
      </c>
      <c r="F47" s="62">
        <f t="shared" si="5"/>
        <v>330.12033333333335</v>
      </c>
      <c r="G47" s="63">
        <f>'PL 2.1'!E124+'PL 2.1'!E130+'PL 2.1'!E115+'PL 2.1'!E113+'PL 2.1'!E126</f>
        <v>43554</v>
      </c>
      <c r="H47" s="55">
        <f t="shared" si="6"/>
        <v>272.21250000000003</v>
      </c>
      <c r="I47" s="38"/>
      <c r="J47" s="38"/>
      <c r="K47" s="82"/>
    </row>
    <row r="48" spans="1:11" s="34" customFormat="1" ht="53.15" customHeight="1">
      <c r="A48" s="43" t="s">
        <v>34</v>
      </c>
      <c r="B48" s="51" t="s">
        <v>253</v>
      </c>
      <c r="C48" s="44" t="s">
        <v>286</v>
      </c>
      <c r="D48" s="43">
        <v>3</v>
      </c>
      <c r="E48" s="62">
        <f>'PL 2.1'!C108+'PL 2.1'!C120+'PL 2.1'!C121+'PL 2.1'!C112</f>
        <v>299.42130000000003</v>
      </c>
      <c r="F48" s="62">
        <f t="shared" si="5"/>
        <v>998.07100000000003</v>
      </c>
      <c r="G48" s="63">
        <f>'PL 2.1'!E108+'PL 2.1'!E120+'PL 2.1'!E121+'PL 2.1'!E112</f>
        <v>33230</v>
      </c>
      <c r="H48" s="55">
        <f t="shared" si="6"/>
        <v>207.68749999999997</v>
      </c>
      <c r="I48" s="38"/>
      <c r="J48" s="38"/>
      <c r="K48" s="82"/>
    </row>
    <row r="49" spans="1:11" s="34" customFormat="1" ht="53.15" customHeight="1">
      <c r="A49" s="43" t="s">
        <v>177</v>
      </c>
      <c r="B49" s="51" t="s">
        <v>254</v>
      </c>
      <c r="C49" s="44" t="s">
        <v>287</v>
      </c>
      <c r="D49" s="43">
        <v>2</v>
      </c>
      <c r="E49" s="62">
        <f>'PL 2.1'!C116+'PL 2.1'!C127+'PL 2.1'!C129</f>
        <v>129.83090000000001</v>
      </c>
      <c r="F49" s="62">
        <f t="shared" si="5"/>
        <v>432.76966666666669</v>
      </c>
      <c r="G49" s="63">
        <f>'PL 2.1'!E116+'PL 2.1'!E127+'PL 2.1'!E129</f>
        <v>32594</v>
      </c>
      <c r="H49" s="55">
        <f t="shared" si="6"/>
        <v>203.71250000000001</v>
      </c>
      <c r="I49" s="38"/>
      <c r="J49" s="38"/>
      <c r="K49" s="82"/>
    </row>
    <row r="50" spans="1:11" s="34" customFormat="1" ht="30" customHeight="1">
      <c r="A50" s="37" t="s">
        <v>205</v>
      </c>
      <c r="B50" s="38"/>
      <c r="C50" s="38" t="s">
        <v>206</v>
      </c>
      <c r="D50" s="37"/>
      <c r="E50" s="59">
        <f>SUM(E52:E55)</f>
        <v>1194.1792</v>
      </c>
      <c r="F50" s="59"/>
      <c r="G50" s="60">
        <f t="shared" ref="G50" si="7">SUM(G52:G55)</f>
        <v>110406</v>
      </c>
      <c r="H50" s="38"/>
      <c r="I50" s="38"/>
      <c r="J50" s="38"/>
      <c r="K50" s="82"/>
    </row>
    <row r="51" spans="1:11" s="34" customFormat="1" ht="30" customHeight="1">
      <c r="A51" s="37">
        <v>1</v>
      </c>
      <c r="B51" s="38" t="s">
        <v>26</v>
      </c>
      <c r="C51" s="38"/>
      <c r="D51" s="37"/>
      <c r="E51" s="51"/>
      <c r="F51" s="51"/>
      <c r="G51" s="51"/>
      <c r="H51" s="51"/>
      <c r="I51" s="51"/>
      <c r="J51" s="51"/>
      <c r="K51" s="78"/>
    </row>
    <row r="52" spans="1:11" s="34" customFormat="1" ht="58" customHeight="1">
      <c r="A52" s="43" t="s">
        <v>29</v>
      </c>
      <c r="B52" s="64" t="s">
        <v>238</v>
      </c>
      <c r="C52" s="64" t="s">
        <v>288</v>
      </c>
      <c r="D52" s="50">
        <v>3</v>
      </c>
      <c r="E52" s="65">
        <f>'PL 2.1'!C134+'PL 2.1'!C135+'PL 2.1'!C145+'PL 2.1'!C148</f>
        <v>100.2664</v>
      </c>
      <c r="F52" s="65">
        <f>E52/30*100</f>
        <v>334.22133333333335</v>
      </c>
      <c r="G52" s="66">
        <f>'PL 2.1'!E134+'PL 2.1'!E135+'PL 2.1'!E145+'PL 2.1'!E148</f>
        <v>36210</v>
      </c>
      <c r="H52" s="62">
        <f>G52/16000*100</f>
        <v>226.3125</v>
      </c>
      <c r="I52" s="51"/>
      <c r="J52" s="51"/>
      <c r="K52" s="78"/>
    </row>
    <row r="53" spans="1:11" s="34" customFormat="1" ht="58" customHeight="1">
      <c r="A53" s="43" t="s">
        <v>30</v>
      </c>
      <c r="B53" s="64" t="s">
        <v>239</v>
      </c>
      <c r="C53" s="64" t="s">
        <v>289</v>
      </c>
      <c r="D53" s="50">
        <v>3</v>
      </c>
      <c r="E53" s="65">
        <f>'PL 2.1'!C142+'PL 2.1'!C136+'PL 2.1'!C144+'PL 2.1'!C141</f>
        <v>86.026399999999995</v>
      </c>
      <c r="F53" s="65">
        <f>E53/30*100</f>
        <v>286.75466666666665</v>
      </c>
      <c r="G53" s="66">
        <f>'PL 2.1'!E142+'PL 2.1'!E136+'PL 2.1'!E144+'PL 2.1'!E141</f>
        <v>30098</v>
      </c>
      <c r="H53" s="62">
        <f>G53/16000*100</f>
        <v>188.11249999999998</v>
      </c>
      <c r="I53" s="51"/>
      <c r="J53" s="51"/>
      <c r="K53" s="78"/>
    </row>
    <row r="54" spans="1:11" s="34" customFormat="1" ht="58" customHeight="1">
      <c r="A54" s="43" t="s">
        <v>31</v>
      </c>
      <c r="B54" s="64" t="s">
        <v>240</v>
      </c>
      <c r="C54" s="64" t="s">
        <v>290</v>
      </c>
      <c r="D54" s="50">
        <v>3</v>
      </c>
      <c r="E54" s="65">
        <f>'PL 2.1'!C138+'PL 2.1'!C137+'PL 2.1'!C143+'PL 2.1'!C139</f>
        <v>71.930199999999999</v>
      </c>
      <c r="F54" s="65">
        <f>E54/30*100</f>
        <v>239.76733333333331</v>
      </c>
      <c r="G54" s="66">
        <f>'PL 2.1'!E138+'PL 2.1'!E137+'PL 2.1'!E143+'PL 2.1'!E139</f>
        <v>35614</v>
      </c>
      <c r="H54" s="62">
        <f>G54/16000*100</f>
        <v>222.58749999999998</v>
      </c>
      <c r="I54" s="51"/>
      <c r="J54" s="51"/>
      <c r="K54" s="78"/>
    </row>
    <row r="55" spans="1:11" s="34" customFormat="1" ht="58" customHeight="1">
      <c r="A55" s="43" t="s">
        <v>32</v>
      </c>
      <c r="B55" s="64" t="s">
        <v>241</v>
      </c>
      <c r="C55" s="64" t="s">
        <v>291</v>
      </c>
      <c r="D55" s="50">
        <v>1</v>
      </c>
      <c r="E55" s="65">
        <f>'PL 2.1'!C140+'PL 2.1'!C146</f>
        <v>935.95619999999997</v>
      </c>
      <c r="F55" s="65">
        <f>E55/100*100</f>
        <v>935.95620000000008</v>
      </c>
      <c r="G55" s="66">
        <f>'PL 2.1'!E140+'PL 2.1'!E146</f>
        <v>8484</v>
      </c>
      <c r="H55" s="62">
        <f>G55/5000*100</f>
        <v>169.68</v>
      </c>
      <c r="I55" s="37" t="s">
        <v>65</v>
      </c>
      <c r="J55" s="51"/>
      <c r="K55" s="81"/>
    </row>
    <row r="56" spans="1:11" s="34" customFormat="1" ht="25" customHeight="1">
      <c r="A56" s="37" t="s">
        <v>208</v>
      </c>
      <c r="B56" s="135"/>
      <c r="C56" s="38" t="s">
        <v>292</v>
      </c>
      <c r="D56" s="37"/>
      <c r="E56" s="67">
        <f>SUM(E58:E64)</f>
        <v>1401.8045000000002</v>
      </c>
      <c r="F56" s="67"/>
      <c r="G56" s="68">
        <f t="shared" ref="G56" si="8">SUM(G58:G64)</f>
        <v>176356</v>
      </c>
      <c r="H56" s="38"/>
      <c r="I56" s="38"/>
      <c r="J56" s="38"/>
      <c r="K56" s="82"/>
    </row>
    <row r="57" spans="1:11" s="34" customFormat="1" ht="25" customHeight="1">
      <c r="A57" s="37">
        <v>1</v>
      </c>
      <c r="B57" s="38" t="s">
        <v>26</v>
      </c>
      <c r="C57" s="38"/>
      <c r="D57" s="37"/>
      <c r="E57" s="71"/>
      <c r="F57" s="71"/>
      <c r="G57" s="72"/>
      <c r="H57" s="62"/>
      <c r="I57" s="37"/>
      <c r="J57" s="51"/>
      <c r="K57" s="78"/>
    </row>
    <row r="58" spans="1:11" s="34" customFormat="1" ht="50.15" customHeight="1">
      <c r="A58" s="43" t="s">
        <v>29</v>
      </c>
      <c r="B58" s="44" t="s">
        <v>293</v>
      </c>
      <c r="C58" s="69" t="s">
        <v>294</v>
      </c>
      <c r="D58" s="70">
        <v>5</v>
      </c>
      <c r="E58" s="71">
        <f>'PL 2.1'!C153+'PL 2.1'!C158+'PL 2.1'!C159+'PL 2.1'!C160+'PL 2.1'!C174+'PL 2.1'!C176</f>
        <v>55.934199999999997</v>
      </c>
      <c r="F58" s="71">
        <f t="shared" ref="F58:F63" si="9">E58/30*100</f>
        <v>186.44733333333332</v>
      </c>
      <c r="G58" s="72">
        <f>'PL 2.1'!E153+'PL 2.1'!E158+'PL 2.1'!E159+'PL 2.1'!E160+'PL 2.1'!E174+'PL 2.1'!E176</f>
        <v>49460</v>
      </c>
      <c r="H58" s="62">
        <f t="shared" ref="H58:H63" si="10">G58/16000*100</f>
        <v>309.125</v>
      </c>
      <c r="I58" s="37"/>
      <c r="J58" s="51"/>
      <c r="K58" s="78"/>
    </row>
    <row r="59" spans="1:11" s="34" customFormat="1" ht="40" customHeight="1">
      <c r="A59" s="43" t="s">
        <v>30</v>
      </c>
      <c r="B59" s="44" t="s">
        <v>295</v>
      </c>
      <c r="C59" s="69" t="s">
        <v>296</v>
      </c>
      <c r="D59" s="70">
        <v>3</v>
      </c>
      <c r="E59" s="71">
        <f>'PL 2.1'!C155+'PL 2.1'!C168+'PL 2.1'!C169+'PL 2.1'!C170</f>
        <v>87.892200000000003</v>
      </c>
      <c r="F59" s="71">
        <f t="shared" si="9"/>
        <v>292.97400000000005</v>
      </c>
      <c r="G59" s="72">
        <f>'PL 2.1'!E155+'PL 2.1'!E168+'PL 2.1'!E169+'PL 2.1'!E170</f>
        <v>26663</v>
      </c>
      <c r="H59" s="62">
        <f t="shared" si="10"/>
        <v>166.64375000000001</v>
      </c>
      <c r="I59" s="37"/>
      <c r="J59" s="51"/>
      <c r="K59" s="78"/>
    </row>
    <row r="60" spans="1:11" s="34" customFormat="1" ht="40" customHeight="1">
      <c r="A60" s="43" t="s">
        <v>31</v>
      </c>
      <c r="B60" s="44" t="s">
        <v>297</v>
      </c>
      <c r="C60" s="69" t="s">
        <v>298</v>
      </c>
      <c r="D60" s="70">
        <v>2</v>
      </c>
      <c r="E60" s="71">
        <f>'PL 2.1'!C157+'PL 2.1'!C167+'PL 2.1'!C171</f>
        <v>120.84020000000001</v>
      </c>
      <c r="F60" s="71">
        <f t="shared" si="9"/>
        <v>402.8006666666667</v>
      </c>
      <c r="G60" s="72">
        <f>'PL 2.1'!E157+'PL 2.1'!E167+'PL 2.1'!E171</f>
        <v>21158</v>
      </c>
      <c r="H60" s="62">
        <f t="shared" si="10"/>
        <v>132.23750000000001</v>
      </c>
      <c r="I60" s="37"/>
      <c r="J60" s="51"/>
      <c r="K60" s="78"/>
    </row>
    <row r="61" spans="1:11" s="34" customFormat="1" ht="40" customHeight="1">
      <c r="A61" s="43" t="s">
        <v>32</v>
      </c>
      <c r="B61" s="44" t="s">
        <v>299</v>
      </c>
      <c r="C61" s="69" t="s">
        <v>300</v>
      </c>
      <c r="D61" s="70">
        <v>3</v>
      </c>
      <c r="E61" s="71">
        <f>'PL 2.1'!C161+'PL 2.1'!C173+'PL 2.1'!C162+'PL 2.1'!C163</f>
        <v>102.5736</v>
      </c>
      <c r="F61" s="71">
        <f t="shared" si="9"/>
        <v>341.91199999999998</v>
      </c>
      <c r="G61" s="72">
        <f>'PL 2.1'!E161+'PL 2.1'!E173+'PL 2.1'!E162+'PL 2.1'!E163</f>
        <v>24644</v>
      </c>
      <c r="H61" s="62">
        <f t="shared" si="10"/>
        <v>154.02499999999998</v>
      </c>
      <c r="I61" s="37"/>
      <c r="J61" s="51"/>
      <c r="K61" s="78"/>
    </row>
    <row r="62" spans="1:11" s="34" customFormat="1" ht="40" customHeight="1">
      <c r="A62" s="43" t="s">
        <v>33</v>
      </c>
      <c r="B62" s="44" t="s">
        <v>301</v>
      </c>
      <c r="C62" s="69" t="s">
        <v>302</v>
      </c>
      <c r="D62" s="70">
        <v>2</v>
      </c>
      <c r="E62" s="71">
        <f>'PL 2.1'!C165+'PL 2.1'!C164+'PL 2.1'!C154</f>
        <v>97.175600000000003</v>
      </c>
      <c r="F62" s="71">
        <f t="shared" si="9"/>
        <v>323.9186666666667</v>
      </c>
      <c r="G62" s="72">
        <f>'PL 2.1'!E165+'PL 2.1'!E164+'PL 2.1'!E154</f>
        <v>21206</v>
      </c>
      <c r="H62" s="62">
        <f t="shared" si="10"/>
        <v>132.53749999999999</v>
      </c>
      <c r="I62" s="37"/>
      <c r="J62" s="51"/>
      <c r="K62" s="78"/>
    </row>
    <row r="63" spans="1:11" s="34" customFormat="1" ht="40" customHeight="1">
      <c r="A63" s="43" t="s">
        <v>34</v>
      </c>
      <c r="B63" s="44" t="s">
        <v>303</v>
      </c>
      <c r="C63" s="69" t="s">
        <v>304</v>
      </c>
      <c r="D63" s="70">
        <v>2</v>
      </c>
      <c r="E63" s="71">
        <f>'PL 2.1'!C156+'PL 2.1'!C166+'PL 2.1'!C177</f>
        <v>56.324100000000008</v>
      </c>
      <c r="F63" s="71">
        <f t="shared" si="9"/>
        <v>187.74700000000001</v>
      </c>
      <c r="G63" s="72">
        <f>'PL 2.1'!E156+'PL 2.1'!E166+'PL 2.1'!E177</f>
        <v>23449</v>
      </c>
      <c r="H63" s="62">
        <f t="shared" si="10"/>
        <v>146.55625000000001</v>
      </c>
      <c r="I63" s="37"/>
      <c r="J63" s="51"/>
      <c r="K63" s="78"/>
    </row>
    <row r="64" spans="1:11" s="34" customFormat="1" ht="40" customHeight="1">
      <c r="A64" s="43" t="s">
        <v>177</v>
      </c>
      <c r="B64" s="44" t="s">
        <v>305</v>
      </c>
      <c r="C64" s="69" t="s">
        <v>306</v>
      </c>
      <c r="D64" s="70">
        <v>2</v>
      </c>
      <c r="E64" s="71">
        <f>'PL 2.1'!C151+'PL 2.1'!C152+'PL 2.1'!C172</f>
        <v>881.06460000000004</v>
      </c>
      <c r="F64" s="71">
        <f>E64/100*100</f>
        <v>881.06460000000004</v>
      </c>
      <c r="G64" s="72">
        <f>'PL 2.1'!E151+'PL 2.1'!E152+'PL 2.1'!E172</f>
        <v>9776</v>
      </c>
      <c r="H64" s="62">
        <f>G64/5000*100</f>
        <v>195.52</v>
      </c>
      <c r="I64" s="37" t="s">
        <v>65</v>
      </c>
      <c r="J64" s="51"/>
      <c r="K64" s="81"/>
    </row>
    <row r="65" spans="1:11" ht="45.75" customHeight="1">
      <c r="A65" s="180" t="s">
        <v>400</v>
      </c>
      <c r="B65" s="181"/>
      <c r="C65" s="181"/>
      <c r="D65" s="181"/>
      <c r="E65" s="181"/>
      <c r="F65" s="181"/>
      <c r="G65" s="181"/>
      <c r="H65" s="181"/>
      <c r="I65" s="181"/>
      <c r="J65" s="181"/>
      <c r="K65" s="181"/>
    </row>
    <row r="66" spans="1:11">
      <c r="A66" s="33"/>
      <c r="B66" s="34"/>
      <c r="C66" s="34"/>
      <c r="D66" s="33"/>
      <c r="E66" s="34"/>
      <c r="F66" s="34"/>
      <c r="G66" s="175"/>
      <c r="H66" s="175"/>
      <c r="I66" s="175"/>
      <c r="J66" s="175"/>
      <c r="K66" s="175"/>
    </row>
    <row r="67" spans="1:11">
      <c r="A67" s="33"/>
      <c r="B67" s="34"/>
      <c r="C67" s="34"/>
      <c r="D67" s="33"/>
      <c r="E67" s="34"/>
      <c r="F67" s="34"/>
      <c r="G67" s="175"/>
      <c r="H67" s="175"/>
      <c r="I67" s="175"/>
      <c r="J67" s="175"/>
      <c r="K67" s="175"/>
    </row>
    <row r="80" spans="1:11">
      <c r="A80"/>
    </row>
    <row r="81" spans="1:1">
      <c r="A81"/>
    </row>
    <row r="82" spans="1:1">
      <c r="A82"/>
    </row>
    <row r="83" spans="1:1">
      <c r="A83"/>
    </row>
    <row r="84" spans="1:1">
      <c r="A84"/>
    </row>
  </sheetData>
  <autoFilter ref="A4:K67">
    <filterColumn colId="4" showButton="0"/>
    <filterColumn colId="6" showButton="0"/>
  </autoFilter>
  <mergeCells count="16">
    <mergeCell ref="I1:K1"/>
    <mergeCell ref="G67:K67"/>
    <mergeCell ref="C4:C5"/>
    <mergeCell ref="D4:D5"/>
    <mergeCell ref="A2:E2"/>
    <mergeCell ref="F2:K2"/>
    <mergeCell ref="A3:K3"/>
    <mergeCell ref="A4:A5"/>
    <mergeCell ref="B4:B5"/>
    <mergeCell ref="E4:F4"/>
    <mergeCell ref="G4:H4"/>
    <mergeCell ref="I4:I5"/>
    <mergeCell ref="J4:J5"/>
    <mergeCell ref="K4:K5"/>
    <mergeCell ref="A65:K65"/>
    <mergeCell ref="G66:K66"/>
  </mergeCells>
  <pageMargins left="0.39370078740157483" right="0.19685039370078741" top="0.19685039370078741" bottom="0.19685039370078741"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O5" sqref="O5"/>
    </sheetView>
  </sheetViews>
  <sheetFormatPr defaultRowHeight="15.5"/>
  <cols>
    <col min="1" max="1" width="11.58203125" style="16" customWidth="1"/>
    <col min="2" max="8" width="11.58203125" customWidth="1"/>
  </cols>
  <sheetData>
    <row r="1" spans="1:8">
      <c r="G1" s="182" t="s">
        <v>219</v>
      </c>
      <c r="H1" s="182"/>
    </row>
    <row r="2" spans="1:8" ht="24.75" customHeight="1">
      <c r="A2" s="173" t="s">
        <v>0</v>
      </c>
      <c r="B2" s="173"/>
      <c r="C2" s="173"/>
      <c r="D2" s="173"/>
      <c r="E2" s="173"/>
      <c r="F2" s="162"/>
      <c r="G2" s="162"/>
      <c r="H2" s="162"/>
    </row>
    <row r="3" spans="1:8" ht="61.5" customHeight="1">
      <c r="A3" s="183" t="s">
        <v>384</v>
      </c>
      <c r="B3" s="184"/>
      <c r="C3" s="184"/>
      <c r="D3" s="184"/>
      <c r="E3" s="184"/>
      <c r="F3" s="184"/>
      <c r="G3" s="184"/>
      <c r="H3" s="184"/>
    </row>
    <row r="4" spans="1:8" ht="136.5" customHeight="1">
      <c r="A4" s="23" t="s">
        <v>220</v>
      </c>
      <c r="B4" s="23" t="s">
        <v>221</v>
      </c>
      <c r="C4" s="23" t="s">
        <v>222</v>
      </c>
      <c r="D4" s="23" t="s">
        <v>223</v>
      </c>
      <c r="E4" s="23" t="s">
        <v>224</v>
      </c>
      <c r="F4" s="23" t="s">
        <v>226</v>
      </c>
      <c r="G4" s="23" t="s">
        <v>225</v>
      </c>
      <c r="H4" s="23" t="s">
        <v>227</v>
      </c>
    </row>
    <row r="5" spans="1:8" ht="45" customHeight="1">
      <c r="A5" s="30" t="s">
        <v>228</v>
      </c>
      <c r="B5" s="30">
        <v>122</v>
      </c>
      <c r="C5" s="30">
        <v>0</v>
      </c>
      <c r="D5" s="30">
        <v>1</v>
      </c>
      <c r="E5" s="30">
        <v>121</v>
      </c>
      <c r="F5" s="30">
        <v>36</v>
      </c>
      <c r="G5" s="30">
        <v>3</v>
      </c>
      <c r="H5" s="30">
        <v>86</v>
      </c>
    </row>
    <row r="6" spans="1:8" ht="45" customHeight="1">
      <c r="A6" s="30" t="s">
        <v>229</v>
      </c>
      <c r="B6" s="30">
        <v>15</v>
      </c>
      <c r="C6" s="30">
        <v>0</v>
      </c>
      <c r="D6" s="30">
        <v>0</v>
      </c>
      <c r="E6" s="30">
        <v>15</v>
      </c>
      <c r="F6" s="30">
        <v>5</v>
      </c>
      <c r="G6" s="30" t="s">
        <v>309</v>
      </c>
      <c r="H6" s="30">
        <v>10</v>
      </c>
    </row>
    <row r="7" spans="1:8" ht="45" customHeight="1">
      <c r="A7" s="30" t="s">
        <v>230</v>
      </c>
      <c r="B7" s="30">
        <v>8</v>
      </c>
      <c r="C7" s="30">
        <v>0</v>
      </c>
      <c r="D7" s="30">
        <v>0</v>
      </c>
      <c r="E7" s="30">
        <v>8</v>
      </c>
      <c r="F7" s="30" t="s">
        <v>309</v>
      </c>
      <c r="G7" s="30" t="s">
        <v>309</v>
      </c>
      <c r="H7" s="30">
        <v>8</v>
      </c>
    </row>
    <row r="8" spans="1:8" s="2" customFormat="1" ht="45" customHeight="1">
      <c r="A8" s="10" t="s">
        <v>231</v>
      </c>
      <c r="B8" s="10">
        <f>SUM(B5:B7)</f>
        <v>145</v>
      </c>
      <c r="C8" s="10">
        <f>SUM(C5:C7)</f>
        <v>0</v>
      </c>
      <c r="D8" s="10">
        <f>SUM(D5:D7)</f>
        <v>1</v>
      </c>
      <c r="E8" s="10">
        <f>SUM(E5:E7)</f>
        <v>144</v>
      </c>
      <c r="F8" s="10">
        <v>41</v>
      </c>
      <c r="G8" s="10">
        <f>G5</f>
        <v>3</v>
      </c>
      <c r="H8" s="10">
        <f>SUM(H5:H7)</f>
        <v>104</v>
      </c>
    </row>
    <row r="9" spans="1:8" ht="29.25" customHeight="1"/>
    <row r="13" spans="1:8">
      <c r="B13" s="29"/>
    </row>
    <row r="23" spans="1:1">
      <c r="A23"/>
    </row>
    <row r="24" spans="1:1">
      <c r="A24"/>
    </row>
    <row r="25" spans="1:1">
      <c r="A25"/>
    </row>
    <row r="26" spans="1:1">
      <c r="A26"/>
    </row>
    <row r="27" spans="1:1">
      <c r="A27"/>
    </row>
  </sheetData>
  <mergeCells count="4">
    <mergeCell ref="G1:H1"/>
    <mergeCell ref="A2:E2"/>
    <mergeCell ref="F2:H2"/>
    <mergeCell ref="A3:H3"/>
  </mergeCells>
  <pageMargins left="0.31496062992125984" right="0.11811023622047245" top="0.15748031496062992" bottom="0.15748031496062992"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5"/>
  <sheetViews>
    <sheetView zoomScale="85" zoomScaleNormal="85" workbookViewId="0">
      <pane xSplit="3" ySplit="9" topLeftCell="D154" activePane="bottomRight" state="frozen"/>
      <selection pane="topRight" activeCell="D1" sqref="D1"/>
      <selection pane="bottomLeft" activeCell="A10" sqref="A10"/>
      <selection pane="bottomRight" activeCell="D178" sqref="D178"/>
    </sheetView>
  </sheetViews>
  <sheetFormatPr defaultColWidth="9" defaultRowHeight="14"/>
  <cols>
    <col min="1" max="1" width="3.83203125" style="88" customWidth="1"/>
    <col min="2" max="2" width="3.83203125" style="89" customWidth="1"/>
    <col min="3" max="3" width="20.33203125" style="90" customWidth="1"/>
    <col min="4" max="4" width="28.08203125" style="119" customWidth="1"/>
    <col min="5" max="5" width="5.08203125" style="119" customWidth="1"/>
    <col min="6" max="7" width="6.58203125" style="92" customWidth="1"/>
    <col min="8" max="8" width="8.33203125" style="92" customWidth="1"/>
    <col min="9" max="9" width="8.5" style="92" customWidth="1"/>
    <col min="10" max="11" width="6.08203125" style="92" customWidth="1"/>
    <col min="12" max="12" width="7.5" style="92" customWidth="1"/>
    <col min="13" max="13" width="7" style="92" customWidth="1"/>
    <col min="14" max="14" width="5" style="92" hidden="1" customWidth="1"/>
    <col min="15" max="15" width="5.58203125" style="92" hidden="1" customWidth="1"/>
    <col min="16" max="16" width="5.75" style="92" hidden="1" customWidth="1"/>
    <col min="17" max="17" width="7.25" style="92" hidden="1" customWidth="1"/>
    <col min="18" max="18" width="5.25" style="92" hidden="1" customWidth="1"/>
    <col min="19" max="19" width="6.5" style="92" hidden="1" customWidth="1"/>
    <col min="20" max="20" width="5.5" style="92" hidden="1" customWidth="1"/>
    <col min="21" max="21" width="0" style="92" hidden="1" customWidth="1"/>
    <col min="22" max="22" width="5.33203125" style="92" customWidth="1"/>
    <col min="23" max="23" width="6.25" style="92" customWidth="1"/>
    <col min="24" max="24" width="5.83203125" style="92" customWidth="1"/>
    <col min="25" max="25" width="8" style="92" customWidth="1"/>
    <col min="26" max="26" width="6.83203125" style="93" customWidth="1"/>
    <col min="27" max="16384" width="9" style="93"/>
  </cols>
  <sheetData>
    <row r="1" spans="1:26" ht="17.5">
      <c r="D1" s="91" t="s">
        <v>310</v>
      </c>
      <c r="E1" s="91"/>
      <c r="F1" s="91"/>
      <c r="G1" s="91"/>
      <c r="H1" s="91"/>
      <c r="Y1" s="204" t="s">
        <v>370</v>
      </c>
      <c r="Z1" s="204"/>
    </row>
    <row r="2" spans="1:26" ht="17.5">
      <c r="D2" s="91" t="s">
        <v>0</v>
      </c>
      <c r="E2" s="91"/>
      <c r="F2" s="91"/>
      <c r="G2" s="91"/>
      <c r="H2" s="91"/>
    </row>
    <row r="4" spans="1:26" ht="30" customHeight="1">
      <c r="A4" s="189" t="s">
        <v>311</v>
      </c>
      <c r="B4" s="189"/>
      <c r="C4" s="189"/>
      <c r="D4" s="189"/>
      <c r="E4" s="189"/>
      <c r="F4" s="189"/>
      <c r="G4" s="189"/>
      <c r="H4" s="189"/>
      <c r="I4" s="189"/>
      <c r="J4" s="189"/>
      <c r="K4" s="189"/>
      <c r="L4" s="189"/>
      <c r="M4" s="189"/>
      <c r="N4" s="189"/>
      <c r="O4" s="189"/>
      <c r="P4" s="189"/>
      <c r="Q4" s="189"/>
      <c r="R4" s="189"/>
      <c r="S4" s="189"/>
      <c r="T4" s="189"/>
      <c r="U4" s="189"/>
      <c r="V4" s="189"/>
      <c r="W4" s="189"/>
      <c r="X4" s="189"/>
      <c r="Y4" s="189"/>
    </row>
    <row r="5" spans="1:26" ht="20.25" customHeight="1">
      <c r="A5" s="190" t="s">
        <v>312</v>
      </c>
      <c r="B5" s="191"/>
      <c r="C5" s="191"/>
      <c r="D5" s="191"/>
      <c r="E5" s="191"/>
      <c r="F5" s="191"/>
      <c r="G5" s="191"/>
      <c r="H5" s="191"/>
      <c r="I5" s="191"/>
      <c r="J5" s="191"/>
      <c r="K5" s="191"/>
      <c r="L5" s="191"/>
      <c r="M5" s="191"/>
      <c r="N5" s="191"/>
      <c r="O5" s="191"/>
      <c r="P5" s="191"/>
      <c r="Q5" s="191"/>
      <c r="R5" s="191"/>
      <c r="S5" s="191"/>
      <c r="T5" s="191"/>
      <c r="U5" s="191"/>
      <c r="V5" s="191"/>
      <c r="W5" s="191"/>
      <c r="X5" s="191"/>
      <c r="Y5" s="191"/>
      <c r="Z5" s="191"/>
    </row>
    <row r="7" spans="1:26" ht="36" customHeight="1">
      <c r="A7" s="185" t="s">
        <v>313</v>
      </c>
      <c r="B7" s="185"/>
      <c r="C7" s="185" t="s">
        <v>314</v>
      </c>
      <c r="D7" s="185" t="s">
        <v>315</v>
      </c>
      <c r="E7" s="185" t="s">
        <v>316</v>
      </c>
      <c r="F7" s="185" t="s">
        <v>317</v>
      </c>
      <c r="G7" s="185"/>
      <c r="H7" s="185"/>
      <c r="I7" s="185"/>
      <c r="J7" s="185" t="s">
        <v>318</v>
      </c>
      <c r="K7" s="185"/>
      <c r="L7" s="185"/>
      <c r="M7" s="185"/>
      <c r="N7" s="136"/>
      <c r="O7" s="136"/>
      <c r="P7" s="136"/>
      <c r="Q7" s="136"/>
      <c r="R7" s="136"/>
      <c r="S7" s="136"/>
      <c r="T7" s="136"/>
      <c r="U7" s="136"/>
      <c r="V7" s="193" t="s">
        <v>385</v>
      </c>
      <c r="W7" s="194"/>
      <c r="X7" s="194"/>
      <c r="Y7" s="195"/>
      <c r="Z7" s="192" t="s">
        <v>319</v>
      </c>
    </row>
    <row r="8" spans="1:26" ht="96" customHeight="1">
      <c r="A8" s="185"/>
      <c r="B8" s="185"/>
      <c r="C8" s="185"/>
      <c r="D8" s="185"/>
      <c r="E8" s="185"/>
      <c r="F8" s="185" t="s">
        <v>320</v>
      </c>
      <c r="G8" s="185" t="s">
        <v>321</v>
      </c>
      <c r="H8" s="185" t="s">
        <v>322</v>
      </c>
      <c r="I8" s="185" t="s">
        <v>323</v>
      </c>
      <c r="J8" s="185" t="s">
        <v>320</v>
      </c>
      <c r="K8" s="185" t="s">
        <v>321</v>
      </c>
      <c r="L8" s="185" t="s">
        <v>324</v>
      </c>
      <c r="M8" s="185" t="s">
        <v>323</v>
      </c>
      <c r="N8" s="185" t="s">
        <v>325</v>
      </c>
      <c r="O8" s="185"/>
      <c r="P8" s="185"/>
      <c r="Q8" s="185"/>
      <c r="R8" s="185" t="s">
        <v>326</v>
      </c>
      <c r="S8" s="185"/>
      <c r="T8" s="185"/>
      <c r="U8" s="185"/>
      <c r="V8" s="196"/>
      <c r="W8" s="197"/>
      <c r="X8" s="197"/>
      <c r="Y8" s="198"/>
      <c r="Z8" s="192"/>
    </row>
    <row r="9" spans="1:26" ht="67.5" customHeight="1">
      <c r="A9" s="185"/>
      <c r="B9" s="185"/>
      <c r="C9" s="185"/>
      <c r="D9" s="185"/>
      <c r="E9" s="185"/>
      <c r="F9" s="185"/>
      <c r="G9" s="185"/>
      <c r="H9" s="185"/>
      <c r="I9" s="185"/>
      <c r="J9" s="185"/>
      <c r="K9" s="185"/>
      <c r="L9" s="185"/>
      <c r="M9" s="185"/>
      <c r="N9" s="94" t="s">
        <v>320</v>
      </c>
      <c r="O9" s="94" t="s">
        <v>321</v>
      </c>
      <c r="P9" s="94" t="s">
        <v>322</v>
      </c>
      <c r="Q9" s="94" t="s">
        <v>323</v>
      </c>
      <c r="R9" s="94" t="s">
        <v>320</v>
      </c>
      <c r="S9" s="94" t="s">
        <v>321</v>
      </c>
      <c r="T9" s="94" t="s">
        <v>322</v>
      </c>
      <c r="U9" s="94" t="s">
        <v>323</v>
      </c>
      <c r="V9" s="94" t="s">
        <v>320</v>
      </c>
      <c r="W9" s="94" t="s">
        <v>321</v>
      </c>
      <c r="X9" s="94" t="s">
        <v>322</v>
      </c>
      <c r="Y9" s="94" t="s">
        <v>323</v>
      </c>
      <c r="Z9" s="192"/>
    </row>
    <row r="10" spans="1:26" ht="22.5" customHeight="1">
      <c r="A10" s="205" t="s">
        <v>403</v>
      </c>
      <c r="B10" s="206"/>
      <c r="C10" s="207" t="s">
        <v>402</v>
      </c>
      <c r="D10" s="208"/>
      <c r="E10" s="95"/>
      <c r="F10" s="95">
        <f>F11+F38+F53+F69+F96+F113+F132+F152</f>
        <v>1590</v>
      </c>
      <c r="G10" s="95">
        <f t="shared" ref="G10:Y10" si="0">G11+G38+G53+G69+G96+G113+G132+G152</f>
        <v>1516</v>
      </c>
      <c r="H10" s="95">
        <f t="shared" si="0"/>
        <v>0</v>
      </c>
      <c r="I10" s="95">
        <f t="shared" si="0"/>
        <v>1889</v>
      </c>
      <c r="J10" s="95">
        <f t="shared" si="0"/>
        <v>1515</v>
      </c>
      <c r="K10" s="95">
        <f t="shared" si="0"/>
        <v>1366</v>
      </c>
      <c r="L10" s="95">
        <f t="shared" si="0"/>
        <v>0</v>
      </c>
      <c r="M10" s="95">
        <f t="shared" si="0"/>
        <v>1588</v>
      </c>
      <c r="N10" s="95">
        <f t="shared" si="0"/>
        <v>22</v>
      </c>
      <c r="O10" s="95">
        <f t="shared" si="0"/>
        <v>22</v>
      </c>
      <c r="P10" s="95">
        <f t="shared" si="0"/>
        <v>0</v>
      </c>
      <c r="Q10" s="95">
        <f t="shared" si="0"/>
        <v>0</v>
      </c>
      <c r="R10" s="95">
        <f t="shared" si="0"/>
        <v>333</v>
      </c>
      <c r="S10" s="95">
        <f t="shared" si="0"/>
        <v>180</v>
      </c>
      <c r="T10" s="95">
        <f t="shared" si="0"/>
        <v>0</v>
      </c>
      <c r="U10" s="95">
        <f t="shared" si="0"/>
        <v>3</v>
      </c>
      <c r="V10" s="95">
        <f t="shared" si="0"/>
        <v>355</v>
      </c>
      <c r="W10" s="95">
        <f t="shared" si="0"/>
        <v>202</v>
      </c>
      <c r="X10" s="95">
        <f t="shared" si="0"/>
        <v>0</v>
      </c>
      <c r="Y10" s="95">
        <f t="shared" si="0"/>
        <v>3</v>
      </c>
      <c r="Z10" s="96"/>
    </row>
    <row r="11" spans="1:26" s="101" customFormat="1" ht="22.5" customHeight="1">
      <c r="A11" s="205"/>
      <c r="B11" s="206"/>
      <c r="C11" s="199" t="s">
        <v>327</v>
      </c>
      <c r="D11" s="200"/>
      <c r="E11" s="98"/>
      <c r="F11" s="8">
        <f>SUM(F12:F37)</f>
        <v>274</v>
      </c>
      <c r="G11" s="8">
        <f t="shared" ref="G11:Y11" si="1">SUM(G12:G37)</f>
        <v>264</v>
      </c>
      <c r="H11" s="8">
        <f t="shared" si="1"/>
        <v>0</v>
      </c>
      <c r="I11" s="8">
        <f t="shared" si="1"/>
        <v>330</v>
      </c>
      <c r="J11" s="8">
        <f t="shared" si="1"/>
        <v>270</v>
      </c>
      <c r="K11" s="8">
        <f t="shared" si="1"/>
        <v>241</v>
      </c>
      <c r="L11" s="8">
        <f t="shared" si="1"/>
        <v>0</v>
      </c>
      <c r="M11" s="8">
        <f t="shared" si="1"/>
        <v>286</v>
      </c>
      <c r="N11" s="8">
        <f t="shared" si="1"/>
        <v>3</v>
      </c>
      <c r="O11" s="8">
        <f t="shared" si="1"/>
        <v>1</v>
      </c>
      <c r="P11" s="8">
        <f t="shared" si="1"/>
        <v>0</v>
      </c>
      <c r="Q11" s="8">
        <f t="shared" si="1"/>
        <v>0</v>
      </c>
      <c r="R11" s="8">
        <f t="shared" si="1"/>
        <v>63</v>
      </c>
      <c r="S11" s="8">
        <f t="shared" si="1"/>
        <v>38</v>
      </c>
      <c r="T11" s="8">
        <f t="shared" si="1"/>
        <v>0</v>
      </c>
      <c r="U11" s="8">
        <f t="shared" si="1"/>
        <v>0</v>
      </c>
      <c r="V11" s="8">
        <f t="shared" si="1"/>
        <v>66</v>
      </c>
      <c r="W11" s="8">
        <f t="shared" si="1"/>
        <v>39</v>
      </c>
      <c r="X11" s="8">
        <f t="shared" si="1"/>
        <v>0</v>
      </c>
      <c r="Y11" s="8">
        <f t="shared" si="1"/>
        <v>0</v>
      </c>
      <c r="Z11" s="100"/>
    </row>
    <row r="12" spans="1:26" ht="22.5" customHeight="1">
      <c r="A12" s="188">
        <v>1</v>
      </c>
      <c r="B12" s="186">
        <v>1</v>
      </c>
      <c r="C12" s="187" t="s">
        <v>328</v>
      </c>
      <c r="D12" s="9" t="s">
        <v>160</v>
      </c>
      <c r="E12" s="104" t="s">
        <v>45</v>
      </c>
      <c r="F12" s="103">
        <v>10</v>
      </c>
      <c r="G12" s="103">
        <v>10</v>
      </c>
      <c r="H12" s="103"/>
      <c r="I12" s="103">
        <v>12</v>
      </c>
      <c r="J12" s="103">
        <v>10</v>
      </c>
      <c r="K12" s="103">
        <v>9</v>
      </c>
      <c r="L12" s="103"/>
      <c r="M12" s="103">
        <v>10</v>
      </c>
      <c r="N12" s="103"/>
      <c r="O12" s="103"/>
      <c r="P12" s="103"/>
      <c r="Q12" s="103"/>
      <c r="R12" s="103">
        <v>1</v>
      </c>
      <c r="S12" s="103"/>
      <c r="T12" s="103"/>
      <c r="U12" s="103"/>
      <c r="V12" s="97">
        <f t="shared" ref="V12:V68" si="2">N12+R12</f>
        <v>1</v>
      </c>
      <c r="W12" s="97">
        <f t="shared" ref="W12:W68" si="3">O12+S12</f>
        <v>0</v>
      </c>
      <c r="X12" s="97">
        <f t="shared" ref="X12:X68" si="4">P12+T12</f>
        <v>0</v>
      </c>
      <c r="Y12" s="97">
        <f t="shared" ref="Y12:Y68" si="5">Q12+U12</f>
        <v>0</v>
      </c>
      <c r="Z12" s="96"/>
    </row>
    <row r="13" spans="1:26" ht="22.5" customHeight="1">
      <c r="A13" s="188"/>
      <c r="B13" s="186"/>
      <c r="C13" s="187"/>
      <c r="D13" s="9" t="s">
        <v>159</v>
      </c>
      <c r="E13" s="104" t="s">
        <v>45</v>
      </c>
      <c r="F13" s="103">
        <v>10</v>
      </c>
      <c r="G13" s="103">
        <v>10</v>
      </c>
      <c r="H13" s="103"/>
      <c r="I13" s="103">
        <v>12</v>
      </c>
      <c r="J13" s="103">
        <v>10</v>
      </c>
      <c r="K13" s="103">
        <v>10</v>
      </c>
      <c r="L13" s="103"/>
      <c r="M13" s="103">
        <v>9</v>
      </c>
      <c r="N13" s="103"/>
      <c r="O13" s="103"/>
      <c r="P13" s="103"/>
      <c r="Q13" s="103"/>
      <c r="R13" s="103">
        <v>4</v>
      </c>
      <c r="S13" s="103">
        <v>1</v>
      </c>
      <c r="T13" s="103"/>
      <c r="U13" s="103"/>
      <c r="V13" s="97">
        <f t="shared" si="2"/>
        <v>4</v>
      </c>
      <c r="W13" s="97">
        <f t="shared" si="3"/>
        <v>1</v>
      </c>
      <c r="X13" s="97">
        <f t="shared" si="4"/>
        <v>0</v>
      </c>
      <c r="Y13" s="97">
        <f t="shared" si="5"/>
        <v>0</v>
      </c>
      <c r="Z13" s="96"/>
    </row>
    <row r="14" spans="1:26" ht="22.5" customHeight="1">
      <c r="A14" s="188"/>
      <c r="B14" s="186"/>
      <c r="C14" s="187"/>
      <c r="D14" s="9" t="s">
        <v>153</v>
      </c>
      <c r="E14" s="104" t="s">
        <v>22</v>
      </c>
      <c r="F14" s="103">
        <v>11</v>
      </c>
      <c r="G14" s="103">
        <v>11</v>
      </c>
      <c r="H14" s="103"/>
      <c r="I14" s="103">
        <v>14</v>
      </c>
      <c r="J14" s="103">
        <v>11</v>
      </c>
      <c r="K14" s="103">
        <v>11</v>
      </c>
      <c r="L14" s="103"/>
      <c r="M14" s="103">
        <v>11</v>
      </c>
      <c r="N14" s="103"/>
      <c r="O14" s="103"/>
      <c r="P14" s="103"/>
      <c r="Q14" s="103"/>
      <c r="R14" s="103">
        <v>2</v>
      </c>
      <c r="S14" s="103">
        <v>3</v>
      </c>
      <c r="T14" s="103"/>
      <c r="U14" s="103"/>
      <c r="V14" s="97">
        <f t="shared" si="2"/>
        <v>2</v>
      </c>
      <c r="W14" s="97">
        <f t="shared" si="3"/>
        <v>3</v>
      </c>
      <c r="X14" s="97">
        <f t="shared" si="4"/>
        <v>0</v>
      </c>
      <c r="Y14" s="97">
        <f t="shared" si="5"/>
        <v>0</v>
      </c>
      <c r="Z14" s="96"/>
    </row>
    <row r="15" spans="1:26" ht="22.5" customHeight="1">
      <c r="A15" s="188"/>
      <c r="B15" s="186"/>
      <c r="C15" s="187"/>
      <c r="D15" s="9" t="s">
        <v>158</v>
      </c>
      <c r="E15" s="104" t="s">
        <v>45</v>
      </c>
      <c r="F15" s="103">
        <v>10</v>
      </c>
      <c r="G15" s="103">
        <v>10</v>
      </c>
      <c r="H15" s="103"/>
      <c r="I15" s="103">
        <v>12</v>
      </c>
      <c r="J15" s="103">
        <v>10</v>
      </c>
      <c r="K15" s="103">
        <v>10</v>
      </c>
      <c r="L15" s="103"/>
      <c r="M15" s="103">
        <v>11</v>
      </c>
      <c r="N15" s="103">
        <v>1</v>
      </c>
      <c r="O15" s="103"/>
      <c r="P15" s="103"/>
      <c r="Q15" s="103"/>
      <c r="R15" s="103">
        <v>2</v>
      </c>
      <c r="S15" s="103">
        <v>3</v>
      </c>
      <c r="T15" s="103"/>
      <c r="U15" s="103"/>
      <c r="V15" s="97">
        <f t="shared" si="2"/>
        <v>3</v>
      </c>
      <c r="W15" s="97">
        <f t="shared" si="3"/>
        <v>3</v>
      </c>
      <c r="X15" s="97">
        <f t="shared" si="4"/>
        <v>0</v>
      </c>
      <c r="Y15" s="97">
        <f t="shared" si="5"/>
        <v>0</v>
      </c>
      <c r="Z15" s="96"/>
    </row>
    <row r="16" spans="1:26" ht="22.5" customHeight="1">
      <c r="A16" s="188"/>
      <c r="B16" s="186"/>
      <c r="C16" s="187"/>
      <c r="D16" s="9" t="s">
        <v>174</v>
      </c>
      <c r="E16" s="104" t="s">
        <v>45</v>
      </c>
      <c r="F16" s="103">
        <v>10</v>
      </c>
      <c r="G16" s="103">
        <v>10</v>
      </c>
      <c r="H16" s="103"/>
      <c r="I16" s="103">
        <v>12</v>
      </c>
      <c r="J16" s="103">
        <v>10</v>
      </c>
      <c r="K16" s="103">
        <v>8</v>
      </c>
      <c r="L16" s="103"/>
      <c r="M16" s="103">
        <v>10</v>
      </c>
      <c r="N16" s="103"/>
      <c r="O16" s="103"/>
      <c r="P16" s="103"/>
      <c r="Q16" s="103"/>
      <c r="R16" s="103">
        <v>2</v>
      </c>
      <c r="S16" s="103">
        <v>1</v>
      </c>
      <c r="T16" s="103"/>
      <c r="U16" s="103"/>
      <c r="V16" s="97">
        <f t="shared" si="2"/>
        <v>2</v>
      </c>
      <c r="W16" s="97">
        <f t="shared" si="3"/>
        <v>1</v>
      </c>
      <c r="X16" s="97">
        <f t="shared" si="4"/>
        <v>0</v>
      </c>
      <c r="Y16" s="97">
        <f t="shared" si="5"/>
        <v>0</v>
      </c>
      <c r="Z16" s="96"/>
    </row>
    <row r="17" spans="1:26" ht="22.5" customHeight="1">
      <c r="A17" s="188"/>
      <c r="B17" s="186"/>
      <c r="C17" s="187"/>
      <c r="D17" s="9" t="s">
        <v>175</v>
      </c>
      <c r="E17" s="104" t="s">
        <v>45</v>
      </c>
      <c r="F17" s="103">
        <v>10</v>
      </c>
      <c r="G17" s="103">
        <v>10</v>
      </c>
      <c r="H17" s="103"/>
      <c r="I17" s="103">
        <v>12</v>
      </c>
      <c r="J17" s="103">
        <v>10</v>
      </c>
      <c r="K17" s="103">
        <v>8</v>
      </c>
      <c r="L17" s="103"/>
      <c r="M17" s="103">
        <v>11</v>
      </c>
      <c r="N17" s="103"/>
      <c r="O17" s="103"/>
      <c r="P17" s="103"/>
      <c r="Q17" s="103"/>
      <c r="R17" s="103">
        <v>4</v>
      </c>
      <c r="S17" s="103">
        <v>1</v>
      </c>
      <c r="T17" s="103"/>
      <c r="U17" s="103"/>
      <c r="V17" s="97">
        <f t="shared" si="2"/>
        <v>4</v>
      </c>
      <c r="W17" s="97">
        <f t="shared" si="3"/>
        <v>1</v>
      </c>
      <c r="X17" s="97">
        <f t="shared" si="4"/>
        <v>0</v>
      </c>
      <c r="Y17" s="97">
        <f t="shared" si="5"/>
        <v>0</v>
      </c>
      <c r="Z17" s="96"/>
    </row>
    <row r="18" spans="1:26" ht="22.5" customHeight="1">
      <c r="A18" s="188">
        <v>2</v>
      </c>
      <c r="B18" s="186">
        <v>2</v>
      </c>
      <c r="C18" s="187" t="s">
        <v>295</v>
      </c>
      <c r="D18" s="9" t="s">
        <v>168</v>
      </c>
      <c r="E18" s="104" t="s">
        <v>45</v>
      </c>
      <c r="F18" s="103">
        <v>10</v>
      </c>
      <c r="G18" s="103">
        <v>10</v>
      </c>
      <c r="H18" s="103"/>
      <c r="I18" s="103">
        <v>12</v>
      </c>
      <c r="J18" s="103">
        <v>10</v>
      </c>
      <c r="K18" s="103">
        <v>10</v>
      </c>
      <c r="L18" s="103"/>
      <c r="M18" s="103">
        <v>10</v>
      </c>
      <c r="N18" s="103"/>
      <c r="O18" s="103"/>
      <c r="P18" s="103"/>
      <c r="Q18" s="103"/>
      <c r="R18" s="103">
        <v>5</v>
      </c>
      <c r="S18" s="103">
        <v>2</v>
      </c>
      <c r="T18" s="103"/>
      <c r="U18" s="103"/>
      <c r="V18" s="97">
        <f t="shared" si="2"/>
        <v>5</v>
      </c>
      <c r="W18" s="97">
        <f t="shared" si="3"/>
        <v>2</v>
      </c>
      <c r="X18" s="97">
        <f t="shared" si="4"/>
        <v>0</v>
      </c>
      <c r="Y18" s="97">
        <f t="shared" si="5"/>
        <v>0</v>
      </c>
      <c r="Z18" s="96"/>
    </row>
    <row r="19" spans="1:26" ht="16.5" customHeight="1">
      <c r="A19" s="188"/>
      <c r="B19" s="186"/>
      <c r="C19" s="187"/>
      <c r="D19" s="9" t="s">
        <v>169</v>
      </c>
      <c r="E19" s="104" t="s">
        <v>45</v>
      </c>
      <c r="F19" s="103">
        <v>10</v>
      </c>
      <c r="G19" s="103">
        <v>10</v>
      </c>
      <c r="H19" s="103"/>
      <c r="I19" s="103">
        <v>12</v>
      </c>
      <c r="J19" s="103">
        <v>9</v>
      </c>
      <c r="K19" s="103">
        <v>10</v>
      </c>
      <c r="L19" s="103"/>
      <c r="M19" s="103">
        <v>8</v>
      </c>
      <c r="N19" s="103"/>
      <c r="O19" s="103"/>
      <c r="P19" s="103"/>
      <c r="Q19" s="103"/>
      <c r="R19" s="103">
        <v>1</v>
      </c>
      <c r="S19" s="103">
        <v>2</v>
      </c>
      <c r="T19" s="103"/>
      <c r="U19" s="103"/>
      <c r="V19" s="97">
        <f t="shared" si="2"/>
        <v>1</v>
      </c>
      <c r="W19" s="97">
        <f t="shared" si="3"/>
        <v>2</v>
      </c>
      <c r="X19" s="97">
        <f t="shared" si="4"/>
        <v>0</v>
      </c>
      <c r="Y19" s="97">
        <f t="shared" si="5"/>
        <v>0</v>
      </c>
      <c r="Z19" s="96"/>
    </row>
    <row r="20" spans="1:26" ht="22.5" customHeight="1">
      <c r="A20" s="188"/>
      <c r="B20" s="186"/>
      <c r="C20" s="187"/>
      <c r="D20" s="9" t="s">
        <v>155</v>
      </c>
      <c r="E20" s="104" t="s">
        <v>22</v>
      </c>
      <c r="F20" s="103">
        <v>11</v>
      </c>
      <c r="G20" s="103">
        <v>10</v>
      </c>
      <c r="H20" s="103"/>
      <c r="I20" s="103">
        <v>14</v>
      </c>
      <c r="J20" s="103">
        <v>11</v>
      </c>
      <c r="K20" s="103">
        <v>9</v>
      </c>
      <c r="L20" s="103"/>
      <c r="M20" s="103">
        <v>11</v>
      </c>
      <c r="N20" s="103"/>
      <c r="O20" s="103"/>
      <c r="P20" s="103"/>
      <c r="Q20" s="103"/>
      <c r="R20" s="103">
        <v>3</v>
      </c>
      <c r="S20" s="103">
        <v>1</v>
      </c>
      <c r="T20" s="103"/>
      <c r="U20" s="103"/>
      <c r="V20" s="97">
        <f t="shared" si="2"/>
        <v>3</v>
      </c>
      <c r="W20" s="97">
        <f t="shared" si="3"/>
        <v>1</v>
      </c>
      <c r="X20" s="97">
        <f t="shared" si="4"/>
        <v>0</v>
      </c>
      <c r="Y20" s="97">
        <f t="shared" si="5"/>
        <v>0</v>
      </c>
      <c r="Z20" s="96"/>
    </row>
    <row r="21" spans="1:26" ht="22.5" customHeight="1">
      <c r="A21" s="188"/>
      <c r="B21" s="186"/>
      <c r="C21" s="187"/>
      <c r="D21" s="9" t="s">
        <v>170</v>
      </c>
      <c r="E21" s="104" t="s">
        <v>45</v>
      </c>
      <c r="F21" s="103">
        <v>10</v>
      </c>
      <c r="G21" s="103">
        <v>10</v>
      </c>
      <c r="H21" s="103"/>
      <c r="I21" s="103">
        <v>12</v>
      </c>
      <c r="J21" s="103">
        <v>10</v>
      </c>
      <c r="K21" s="103">
        <v>8</v>
      </c>
      <c r="L21" s="103"/>
      <c r="M21" s="103">
        <v>12</v>
      </c>
      <c r="N21" s="103"/>
      <c r="O21" s="103"/>
      <c r="P21" s="103"/>
      <c r="Q21" s="103"/>
      <c r="R21" s="103">
        <v>5</v>
      </c>
      <c r="S21" s="103">
        <v>2</v>
      </c>
      <c r="T21" s="103"/>
      <c r="U21" s="103"/>
      <c r="V21" s="97">
        <f t="shared" si="2"/>
        <v>5</v>
      </c>
      <c r="W21" s="97">
        <f t="shared" si="3"/>
        <v>2</v>
      </c>
      <c r="X21" s="97">
        <f t="shared" si="4"/>
        <v>0</v>
      </c>
      <c r="Y21" s="97">
        <f t="shared" si="5"/>
        <v>0</v>
      </c>
      <c r="Z21" s="96"/>
    </row>
    <row r="22" spans="1:26" ht="22.5" customHeight="1">
      <c r="A22" s="188">
        <v>3</v>
      </c>
      <c r="B22" s="186">
        <v>3</v>
      </c>
      <c r="C22" s="187" t="s">
        <v>297</v>
      </c>
      <c r="D22" s="9" t="s">
        <v>167</v>
      </c>
      <c r="E22" s="104" t="s">
        <v>22</v>
      </c>
      <c r="F22" s="103">
        <v>12</v>
      </c>
      <c r="G22" s="103">
        <v>10</v>
      </c>
      <c r="H22" s="103"/>
      <c r="I22" s="103">
        <v>14</v>
      </c>
      <c r="J22" s="103">
        <v>11</v>
      </c>
      <c r="K22" s="103">
        <v>8</v>
      </c>
      <c r="L22" s="103"/>
      <c r="M22" s="103">
        <v>11</v>
      </c>
      <c r="N22" s="103"/>
      <c r="O22" s="103"/>
      <c r="P22" s="103"/>
      <c r="Q22" s="103"/>
      <c r="R22" s="103">
        <v>1</v>
      </c>
      <c r="S22" s="103">
        <v>2</v>
      </c>
      <c r="T22" s="103"/>
      <c r="U22" s="103"/>
      <c r="V22" s="97">
        <f t="shared" si="2"/>
        <v>1</v>
      </c>
      <c r="W22" s="97">
        <f t="shared" si="3"/>
        <v>2</v>
      </c>
      <c r="X22" s="97">
        <f t="shared" si="4"/>
        <v>0</v>
      </c>
      <c r="Y22" s="97">
        <f t="shared" si="5"/>
        <v>0</v>
      </c>
      <c r="Z22" s="96"/>
    </row>
    <row r="23" spans="1:26" ht="22.5" customHeight="1">
      <c r="A23" s="188"/>
      <c r="B23" s="186"/>
      <c r="C23" s="187"/>
      <c r="D23" s="9" t="s">
        <v>171</v>
      </c>
      <c r="E23" s="104" t="s">
        <v>45</v>
      </c>
      <c r="F23" s="103">
        <v>11</v>
      </c>
      <c r="G23" s="103">
        <v>10</v>
      </c>
      <c r="H23" s="103"/>
      <c r="I23" s="103">
        <v>12</v>
      </c>
      <c r="J23" s="103">
        <v>11</v>
      </c>
      <c r="K23" s="103">
        <v>10</v>
      </c>
      <c r="L23" s="103"/>
      <c r="M23" s="103">
        <v>11</v>
      </c>
      <c r="N23" s="103"/>
      <c r="O23" s="103"/>
      <c r="P23" s="103"/>
      <c r="Q23" s="103"/>
      <c r="R23" s="103"/>
      <c r="S23" s="103">
        <v>1</v>
      </c>
      <c r="T23" s="103"/>
      <c r="U23" s="103"/>
      <c r="V23" s="97">
        <f t="shared" si="2"/>
        <v>0</v>
      </c>
      <c r="W23" s="97">
        <f t="shared" si="3"/>
        <v>1</v>
      </c>
      <c r="X23" s="97">
        <f t="shared" si="4"/>
        <v>0</v>
      </c>
      <c r="Y23" s="97">
        <f t="shared" si="5"/>
        <v>0</v>
      </c>
      <c r="Z23" s="96"/>
    </row>
    <row r="24" spans="1:26" ht="22.5" customHeight="1">
      <c r="A24" s="188"/>
      <c r="B24" s="186"/>
      <c r="C24" s="187"/>
      <c r="D24" s="9" t="s">
        <v>157</v>
      </c>
      <c r="E24" s="104" t="s">
        <v>22</v>
      </c>
      <c r="F24" s="103">
        <v>11</v>
      </c>
      <c r="G24" s="103">
        <v>11</v>
      </c>
      <c r="H24" s="103"/>
      <c r="I24" s="103">
        <v>14</v>
      </c>
      <c r="J24" s="103">
        <v>11</v>
      </c>
      <c r="K24" s="103">
        <v>10</v>
      </c>
      <c r="L24" s="103"/>
      <c r="M24" s="103">
        <v>11</v>
      </c>
      <c r="N24" s="103"/>
      <c r="O24" s="103"/>
      <c r="P24" s="103"/>
      <c r="Q24" s="103"/>
      <c r="R24" s="103">
        <v>2</v>
      </c>
      <c r="S24" s="103">
        <v>1</v>
      </c>
      <c r="T24" s="103"/>
      <c r="U24" s="103"/>
      <c r="V24" s="97">
        <f t="shared" si="2"/>
        <v>2</v>
      </c>
      <c r="W24" s="97">
        <f t="shared" si="3"/>
        <v>1</v>
      </c>
      <c r="X24" s="97">
        <f t="shared" si="4"/>
        <v>0</v>
      </c>
      <c r="Y24" s="97">
        <f t="shared" si="5"/>
        <v>0</v>
      </c>
      <c r="Z24" s="96"/>
    </row>
    <row r="25" spans="1:26" ht="19.5" customHeight="1">
      <c r="A25" s="188">
        <v>4</v>
      </c>
      <c r="B25" s="186">
        <v>4</v>
      </c>
      <c r="C25" s="187" t="s">
        <v>299</v>
      </c>
      <c r="D25" s="9" t="s">
        <v>161</v>
      </c>
      <c r="E25" s="104" t="s">
        <v>45</v>
      </c>
      <c r="F25" s="103">
        <v>10</v>
      </c>
      <c r="G25" s="103">
        <v>10</v>
      </c>
      <c r="H25" s="103"/>
      <c r="I25" s="103">
        <v>12</v>
      </c>
      <c r="J25" s="103">
        <v>10</v>
      </c>
      <c r="K25" s="103">
        <v>9</v>
      </c>
      <c r="L25" s="103"/>
      <c r="M25" s="103">
        <v>10</v>
      </c>
      <c r="N25" s="103"/>
      <c r="O25" s="103"/>
      <c r="P25" s="103"/>
      <c r="Q25" s="103"/>
      <c r="R25" s="103"/>
      <c r="S25" s="103">
        <v>2</v>
      </c>
      <c r="T25" s="103"/>
      <c r="U25" s="103"/>
      <c r="V25" s="97">
        <f t="shared" si="2"/>
        <v>0</v>
      </c>
      <c r="W25" s="97">
        <f t="shared" si="3"/>
        <v>2</v>
      </c>
      <c r="X25" s="97">
        <f t="shared" si="4"/>
        <v>0</v>
      </c>
      <c r="Y25" s="97">
        <f t="shared" si="5"/>
        <v>0</v>
      </c>
      <c r="Z25" s="96"/>
    </row>
    <row r="26" spans="1:26" ht="19.5" customHeight="1">
      <c r="A26" s="188"/>
      <c r="B26" s="186"/>
      <c r="C26" s="187"/>
      <c r="D26" s="9" t="s">
        <v>173</v>
      </c>
      <c r="E26" s="104" t="s">
        <v>45</v>
      </c>
      <c r="F26" s="103">
        <v>10</v>
      </c>
      <c r="G26" s="103">
        <v>10</v>
      </c>
      <c r="H26" s="103"/>
      <c r="I26" s="103">
        <v>12</v>
      </c>
      <c r="J26" s="103">
        <v>10</v>
      </c>
      <c r="K26" s="103">
        <v>8</v>
      </c>
      <c r="L26" s="103"/>
      <c r="M26" s="103">
        <v>11</v>
      </c>
      <c r="N26" s="103">
        <v>1</v>
      </c>
      <c r="O26" s="103"/>
      <c r="P26" s="103"/>
      <c r="Q26" s="103"/>
      <c r="R26" s="103">
        <v>2</v>
      </c>
      <c r="S26" s="103">
        <v>1</v>
      </c>
      <c r="T26" s="103"/>
      <c r="U26" s="103"/>
      <c r="V26" s="97">
        <f t="shared" si="2"/>
        <v>3</v>
      </c>
      <c r="W26" s="97">
        <f t="shared" si="3"/>
        <v>1</v>
      </c>
      <c r="X26" s="97">
        <f t="shared" si="4"/>
        <v>0</v>
      </c>
      <c r="Y26" s="97">
        <f t="shared" si="5"/>
        <v>0</v>
      </c>
      <c r="Z26" s="96"/>
    </row>
    <row r="27" spans="1:26" ht="19.5" customHeight="1">
      <c r="A27" s="188"/>
      <c r="B27" s="186"/>
      <c r="C27" s="187"/>
      <c r="D27" s="9" t="s">
        <v>162</v>
      </c>
      <c r="E27" s="104" t="s">
        <v>45</v>
      </c>
      <c r="F27" s="103">
        <v>10</v>
      </c>
      <c r="G27" s="103">
        <v>10</v>
      </c>
      <c r="H27" s="103"/>
      <c r="I27" s="103">
        <v>12</v>
      </c>
      <c r="J27" s="103">
        <v>10</v>
      </c>
      <c r="K27" s="103">
        <v>9</v>
      </c>
      <c r="L27" s="103"/>
      <c r="M27" s="103">
        <v>9</v>
      </c>
      <c r="N27" s="103"/>
      <c r="O27" s="103"/>
      <c r="P27" s="103"/>
      <c r="Q27" s="103"/>
      <c r="R27" s="103">
        <v>4</v>
      </c>
      <c r="S27" s="103">
        <v>3</v>
      </c>
      <c r="T27" s="103"/>
      <c r="U27" s="103"/>
      <c r="V27" s="97">
        <f t="shared" si="2"/>
        <v>4</v>
      </c>
      <c r="W27" s="97">
        <f t="shared" si="3"/>
        <v>3</v>
      </c>
      <c r="X27" s="97">
        <f t="shared" si="4"/>
        <v>0</v>
      </c>
      <c r="Y27" s="97">
        <f t="shared" si="5"/>
        <v>0</v>
      </c>
      <c r="Z27" s="96"/>
    </row>
    <row r="28" spans="1:26" ht="19.5" customHeight="1">
      <c r="A28" s="188"/>
      <c r="B28" s="186"/>
      <c r="C28" s="187"/>
      <c r="D28" s="9" t="s">
        <v>163</v>
      </c>
      <c r="E28" s="104" t="s">
        <v>45</v>
      </c>
      <c r="F28" s="103">
        <v>10</v>
      </c>
      <c r="G28" s="103">
        <v>10</v>
      </c>
      <c r="H28" s="103"/>
      <c r="I28" s="103">
        <v>12</v>
      </c>
      <c r="J28" s="103">
        <v>10</v>
      </c>
      <c r="K28" s="103">
        <v>10</v>
      </c>
      <c r="L28" s="103"/>
      <c r="M28" s="103">
        <v>10</v>
      </c>
      <c r="N28" s="103"/>
      <c r="O28" s="103"/>
      <c r="P28" s="103"/>
      <c r="Q28" s="103"/>
      <c r="R28" s="103">
        <v>3</v>
      </c>
      <c r="S28" s="103">
        <v>2</v>
      </c>
      <c r="T28" s="103"/>
      <c r="U28" s="103"/>
      <c r="V28" s="97">
        <f t="shared" si="2"/>
        <v>3</v>
      </c>
      <c r="W28" s="97">
        <f t="shared" si="3"/>
        <v>2</v>
      </c>
      <c r="X28" s="97">
        <f t="shared" si="4"/>
        <v>0</v>
      </c>
      <c r="Y28" s="97">
        <f t="shared" si="5"/>
        <v>0</v>
      </c>
      <c r="Z28" s="96"/>
    </row>
    <row r="29" spans="1:26" ht="19.5" customHeight="1">
      <c r="A29" s="188">
        <v>5</v>
      </c>
      <c r="B29" s="186">
        <v>5</v>
      </c>
      <c r="C29" s="187" t="s">
        <v>301</v>
      </c>
      <c r="D29" s="9" t="s">
        <v>165</v>
      </c>
      <c r="E29" s="104" t="s">
        <v>45</v>
      </c>
      <c r="F29" s="103">
        <v>12</v>
      </c>
      <c r="G29" s="103">
        <v>9</v>
      </c>
      <c r="H29" s="103"/>
      <c r="I29" s="103">
        <v>12</v>
      </c>
      <c r="J29" s="103">
        <v>12</v>
      </c>
      <c r="K29" s="103">
        <v>9</v>
      </c>
      <c r="L29" s="103"/>
      <c r="M29" s="103">
        <v>11</v>
      </c>
      <c r="N29" s="103"/>
      <c r="O29" s="103"/>
      <c r="P29" s="103"/>
      <c r="Q29" s="103"/>
      <c r="R29" s="103">
        <v>1</v>
      </c>
      <c r="S29" s="103">
        <v>1</v>
      </c>
      <c r="T29" s="103"/>
      <c r="U29" s="103"/>
      <c r="V29" s="97">
        <f t="shared" si="2"/>
        <v>1</v>
      </c>
      <c r="W29" s="97">
        <f t="shared" si="3"/>
        <v>1</v>
      </c>
      <c r="X29" s="97">
        <f t="shared" si="4"/>
        <v>0</v>
      </c>
      <c r="Y29" s="97">
        <f t="shared" si="5"/>
        <v>0</v>
      </c>
      <c r="Z29" s="96"/>
    </row>
    <row r="30" spans="1:26" ht="19.5" customHeight="1">
      <c r="A30" s="188"/>
      <c r="B30" s="186"/>
      <c r="C30" s="187"/>
      <c r="D30" s="9" t="s">
        <v>164</v>
      </c>
      <c r="E30" s="104" t="s">
        <v>45</v>
      </c>
      <c r="F30" s="103">
        <v>10</v>
      </c>
      <c r="G30" s="103">
        <v>10</v>
      </c>
      <c r="H30" s="103"/>
      <c r="I30" s="103">
        <v>12</v>
      </c>
      <c r="J30" s="103">
        <v>10</v>
      </c>
      <c r="K30" s="103">
        <v>9</v>
      </c>
      <c r="L30" s="103"/>
      <c r="M30" s="103">
        <v>11</v>
      </c>
      <c r="N30" s="103"/>
      <c r="O30" s="103"/>
      <c r="P30" s="103"/>
      <c r="Q30" s="103"/>
      <c r="R30" s="103">
        <v>3</v>
      </c>
      <c r="S30" s="103">
        <v>2</v>
      </c>
      <c r="T30" s="103"/>
      <c r="U30" s="103"/>
      <c r="V30" s="97">
        <f t="shared" si="2"/>
        <v>3</v>
      </c>
      <c r="W30" s="97">
        <f t="shared" si="3"/>
        <v>2</v>
      </c>
      <c r="X30" s="97">
        <f t="shared" si="4"/>
        <v>0</v>
      </c>
      <c r="Y30" s="97">
        <f t="shared" si="5"/>
        <v>0</v>
      </c>
      <c r="Z30" s="96"/>
    </row>
    <row r="31" spans="1:26" ht="19.5" customHeight="1">
      <c r="A31" s="188"/>
      <c r="B31" s="186"/>
      <c r="C31" s="187"/>
      <c r="D31" s="9" t="s">
        <v>154</v>
      </c>
      <c r="E31" s="104" t="s">
        <v>22</v>
      </c>
      <c r="F31" s="103">
        <v>11</v>
      </c>
      <c r="G31" s="103">
        <v>11</v>
      </c>
      <c r="H31" s="103"/>
      <c r="I31" s="103">
        <v>14</v>
      </c>
      <c r="J31" s="103">
        <v>11</v>
      </c>
      <c r="K31" s="103">
        <v>9</v>
      </c>
      <c r="L31" s="103"/>
      <c r="M31" s="103">
        <v>13</v>
      </c>
      <c r="N31" s="103"/>
      <c r="O31" s="103"/>
      <c r="P31" s="103"/>
      <c r="Q31" s="103"/>
      <c r="R31" s="103">
        <v>5</v>
      </c>
      <c r="S31" s="103"/>
      <c r="T31" s="103"/>
      <c r="U31" s="103"/>
      <c r="V31" s="97">
        <f t="shared" si="2"/>
        <v>5</v>
      </c>
      <c r="W31" s="97">
        <f t="shared" si="3"/>
        <v>0</v>
      </c>
      <c r="X31" s="97">
        <f t="shared" si="4"/>
        <v>0</v>
      </c>
      <c r="Y31" s="97">
        <f t="shared" si="5"/>
        <v>0</v>
      </c>
      <c r="Z31" s="96"/>
    </row>
    <row r="32" spans="1:26" ht="19.5" customHeight="1">
      <c r="A32" s="188">
        <v>6</v>
      </c>
      <c r="B32" s="186">
        <v>6</v>
      </c>
      <c r="C32" s="187" t="s">
        <v>303</v>
      </c>
      <c r="D32" s="9" t="s">
        <v>156</v>
      </c>
      <c r="E32" s="104" t="s">
        <v>22</v>
      </c>
      <c r="F32" s="103">
        <v>11</v>
      </c>
      <c r="G32" s="103">
        <v>11</v>
      </c>
      <c r="H32" s="103"/>
      <c r="I32" s="103">
        <v>14</v>
      </c>
      <c r="J32" s="103">
        <v>10</v>
      </c>
      <c r="K32" s="103">
        <v>11</v>
      </c>
      <c r="L32" s="103"/>
      <c r="M32" s="103">
        <v>14</v>
      </c>
      <c r="N32" s="103">
        <v>1</v>
      </c>
      <c r="O32" s="103"/>
      <c r="P32" s="103"/>
      <c r="Q32" s="103"/>
      <c r="R32" s="103">
        <v>3</v>
      </c>
      <c r="S32" s="103">
        <v>3</v>
      </c>
      <c r="T32" s="103"/>
      <c r="U32" s="103"/>
      <c r="V32" s="97">
        <f t="shared" si="2"/>
        <v>4</v>
      </c>
      <c r="W32" s="97">
        <f t="shared" si="3"/>
        <v>3</v>
      </c>
      <c r="X32" s="97">
        <f t="shared" si="4"/>
        <v>0</v>
      </c>
      <c r="Y32" s="97">
        <f t="shared" si="5"/>
        <v>0</v>
      </c>
      <c r="Z32" s="96"/>
    </row>
    <row r="33" spans="1:26" ht="19.5" customHeight="1">
      <c r="A33" s="188"/>
      <c r="B33" s="186"/>
      <c r="C33" s="187"/>
      <c r="D33" s="9" t="s">
        <v>166</v>
      </c>
      <c r="E33" s="104" t="s">
        <v>22</v>
      </c>
      <c r="F33" s="103">
        <v>11</v>
      </c>
      <c r="G33" s="103">
        <v>10</v>
      </c>
      <c r="H33" s="103"/>
      <c r="I33" s="103">
        <v>14</v>
      </c>
      <c r="J33" s="103">
        <v>10</v>
      </c>
      <c r="K33" s="103">
        <v>8</v>
      </c>
      <c r="L33" s="103"/>
      <c r="M33" s="103">
        <v>13</v>
      </c>
      <c r="N33" s="103"/>
      <c r="O33" s="103"/>
      <c r="P33" s="103"/>
      <c r="Q33" s="103"/>
      <c r="R33" s="103">
        <v>2</v>
      </c>
      <c r="S33" s="103"/>
      <c r="T33" s="103"/>
      <c r="U33" s="103"/>
      <c r="V33" s="97">
        <f t="shared" si="2"/>
        <v>2</v>
      </c>
      <c r="W33" s="97">
        <f t="shared" si="3"/>
        <v>0</v>
      </c>
      <c r="X33" s="97">
        <f t="shared" si="4"/>
        <v>0</v>
      </c>
      <c r="Y33" s="97">
        <f t="shared" si="5"/>
        <v>0</v>
      </c>
      <c r="Z33" s="96"/>
    </row>
    <row r="34" spans="1:26" ht="19.5" customHeight="1">
      <c r="A34" s="188"/>
      <c r="B34" s="186"/>
      <c r="C34" s="187"/>
      <c r="D34" s="9" t="s">
        <v>176</v>
      </c>
      <c r="E34" s="104" t="s">
        <v>45</v>
      </c>
      <c r="F34" s="103">
        <v>10</v>
      </c>
      <c r="G34" s="103">
        <v>10</v>
      </c>
      <c r="H34" s="103"/>
      <c r="I34" s="103">
        <v>12</v>
      </c>
      <c r="J34" s="103">
        <v>10</v>
      </c>
      <c r="K34" s="103">
        <v>8</v>
      </c>
      <c r="L34" s="103"/>
      <c r="M34" s="103">
        <v>8</v>
      </c>
      <c r="N34" s="103"/>
      <c r="O34" s="103"/>
      <c r="P34" s="103"/>
      <c r="Q34" s="103"/>
      <c r="R34" s="103">
        <v>2</v>
      </c>
      <c r="S34" s="103">
        <v>1</v>
      </c>
      <c r="T34" s="103"/>
      <c r="U34" s="103"/>
      <c r="V34" s="97">
        <f t="shared" si="2"/>
        <v>2</v>
      </c>
      <c r="W34" s="97">
        <f t="shared" si="3"/>
        <v>1</v>
      </c>
      <c r="X34" s="97">
        <f t="shared" si="4"/>
        <v>0</v>
      </c>
      <c r="Y34" s="97">
        <f t="shared" si="5"/>
        <v>0</v>
      </c>
      <c r="Z34" s="96"/>
    </row>
    <row r="35" spans="1:26" ht="24.75" customHeight="1">
      <c r="A35" s="188">
        <v>7</v>
      </c>
      <c r="B35" s="186">
        <v>7</v>
      </c>
      <c r="C35" s="187" t="s">
        <v>305</v>
      </c>
      <c r="D35" s="9" t="s">
        <v>151</v>
      </c>
      <c r="E35" s="104" t="s">
        <v>22</v>
      </c>
      <c r="F35" s="103">
        <v>12</v>
      </c>
      <c r="G35" s="103">
        <v>10</v>
      </c>
      <c r="H35" s="103"/>
      <c r="I35" s="103">
        <v>14</v>
      </c>
      <c r="J35" s="103">
        <v>12</v>
      </c>
      <c r="K35" s="103">
        <v>10</v>
      </c>
      <c r="L35" s="103"/>
      <c r="M35" s="103">
        <v>14</v>
      </c>
      <c r="N35" s="103"/>
      <c r="O35" s="103">
        <v>1</v>
      </c>
      <c r="P35" s="103"/>
      <c r="Q35" s="103"/>
      <c r="R35" s="103">
        <v>5</v>
      </c>
      <c r="S35" s="103"/>
      <c r="T35" s="103"/>
      <c r="U35" s="103"/>
      <c r="V35" s="97">
        <f t="shared" si="2"/>
        <v>5</v>
      </c>
      <c r="W35" s="97">
        <f t="shared" si="3"/>
        <v>1</v>
      </c>
      <c r="X35" s="97">
        <f t="shared" si="4"/>
        <v>0</v>
      </c>
      <c r="Y35" s="97">
        <f t="shared" si="5"/>
        <v>0</v>
      </c>
      <c r="Z35" s="96"/>
    </row>
    <row r="36" spans="1:26" ht="20.25" customHeight="1">
      <c r="A36" s="188"/>
      <c r="B36" s="186"/>
      <c r="C36" s="187"/>
      <c r="D36" s="9" t="s">
        <v>172</v>
      </c>
      <c r="E36" s="104" t="s">
        <v>45</v>
      </c>
      <c r="F36" s="103">
        <v>10</v>
      </c>
      <c r="G36" s="103">
        <v>10</v>
      </c>
      <c r="H36" s="103"/>
      <c r="I36" s="103">
        <v>12</v>
      </c>
      <c r="J36" s="103">
        <v>10</v>
      </c>
      <c r="K36" s="103">
        <v>9</v>
      </c>
      <c r="L36" s="103"/>
      <c r="M36" s="103">
        <v>12</v>
      </c>
      <c r="N36" s="103"/>
      <c r="O36" s="103"/>
      <c r="P36" s="103"/>
      <c r="Q36" s="103"/>
      <c r="R36" s="103"/>
      <c r="S36" s="103">
        <v>2</v>
      </c>
      <c r="T36" s="103"/>
      <c r="U36" s="103"/>
      <c r="V36" s="97">
        <f t="shared" si="2"/>
        <v>0</v>
      </c>
      <c r="W36" s="97">
        <f t="shared" si="3"/>
        <v>2</v>
      </c>
      <c r="X36" s="97">
        <f t="shared" si="4"/>
        <v>0</v>
      </c>
      <c r="Y36" s="97">
        <f t="shared" si="5"/>
        <v>0</v>
      </c>
      <c r="Z36" s="96"/>
    </row>
    <row r="37" spans="1:26" ht="24.75" customHeight="1">
      <c r="A37" s="188"/>
      <c r="B37" s="186"/>
      <c r="C37" s="187"/>
      <c r="D37" s="9" t="s">
        <v>329</v>
      </c>
      <c r="E37" s="104" t="s">
        <v>22</v>
      </c>
      <c r="F37" s="103">
        <v>11</v>
      </c>
      <c r="G37" s="103">
        <v>11</v>
      </c>
      <c r="H37" s="103"/>
      <c r="I37" s="103">
        <v>14</v>
      </c>
      <c r="J37" s="103">
        <v>11</v>
      </c>
      <c r="K37" s="103">
        <v>11</v>
      </c>
      <c r="L37" s="103"/>
      <c r="M37" s="103">
        <v>14</v>
      </c>
      <c r="N37" s="103"/>
      <c r="O37" s="103"/>
      <c r="P37" s="103"/>
      <c r="Q37" s="103"/>
      <c r="R37" s="103">
        <v>1</v>
      </c>
      <c r="S37" s="103">
        <v>1</v>
      </c>
      <c r="T37" s="103"/>
      <c r="U37" s="103"/>
      <c r="V37" s="97">
        <f t="shared" si="2"/>
        <v>1</v>
      </c>
      <c r="W37" s="97">
        <f t="shared" si="3"/>
        <v>1</v>
      </c>
      <c r="X37" s="97">
        <f t="shared" si="4"/>
        <v>0</v>
      </c>
      <c r="Y37" s="97">
        <f t="shared" si="5"/>
        <v>0</v>
      </c>
      <c r="Z37" s="96"/>
    </row>
    <row r="38" spans="1:26" s="101" customFormat="1" ht="22.5" customHeight="1">
      <c r="A38" s="201"/>
      <c r="B38" s="202"/>
      <c r="C38" s="199" t="s">
        <v>206</v>
      </c>
      <c r="D38" s="200"/>
      <c r="E38" s="98"/>
      <c r="F38" s="8">
        <f>SUM(F39:F52)</f>
        <v>155</v>
      </c>
      <c r="G38" s="8">
        <f t="shared" ref="G38:Y38" si="6">SUM(G39:G52)</f>
        <v>161</v>
      </c>
      <c r="H38" s="8">
        <f t="shared" si="6"/>
        <v>0</v>
      </c>
      <c r="I38" s="8">
        <f t="shared" si="6"/>
        <v>199</v>
      </c>
      <c r="J38" s="8">
        <f t="shared" si="6"/>
        <v>151</v>
      </c>
      <c r="K38" s="8">
        <f t="shared" si="6"/>
        <v>138</v>
      </c>
      <c r="L38" s="8">
        <f t="shared" si="6"/>
        <v>0</v>
      </c>
      <c r="M38" s="8">
        <f t="shared" si="6"/>
        <v>143</v>
      </c>
      <c r="N38" s="8">
        <f t="shared" si="6"/>
        <v>2</v>
      </c>
      <c r="O38" s="8">
        <f t="shared" si="6"/>
        <v>0</v>
      </c>
      <c r="P38" s="8">
        <f t="shared" si="6"/>
        <v>0</v>
      </c>
      <c r="Q38" s="8">
        <f t="shared" si="6"/>
        <v>0</v>
      </c>
      <c r="R38" s="8">
        <f t="shared" si="6"/>
        <v>31</v>
      </c>
      <c r="S38" s="8">
        <f t="shared" si="6"/>
        <v>9</v>
      </c>
      <c r="T38" s="8">
        <f t="shared" si="6"/>
        <v>0</v>
      </c>
      <c r="U38" s="8">
        <f t="shared" si="6"/>
        <v>0</v>
      </c>
      <c r="V38" s="8">
        <f t="shared" si="6"/>
        <v>33</v>
      </c>
      <c r="W38" s="8">
        <f t="shared" si="6"/>
        <v>9</v>
      </c>
      <c r="X38" s="8">
        <f t="shared" si="6"/>
        <v>0</v>
      </c>
      <c r="Y38" s="8">
        <f t="shared" si="6"/>
        <v>0</v>
      </c>
      <c r="Z38" s="99"/>
    </row>
    <row r="39" spans="1:26" ht="18.75" customHeight="1">
      <c r="A39" s="188">
        <v>8</v>
      </c>
      <c r="B39" s="186">
        <v>1</v>
      </c>
      <c r="C39" s="187" t="s">
        <v>238</v>
      </c>
      <c r="D39" s="108" t="s">
        <v>330</v>
      </c>
      <c r="E39" s="105" t="s">
        <v>22</v>
      </c>
      <c r="F39" s="103">
        <v>11</v>
      </c>
      <c r="G39" s="103">
        <v>12</v>
      </c>
      <c r="H39" s="103"/>
      <c r="I39" s="103">
        <v>14</v>
      </c>
      <c r="J39" s="103">
        <v>11</v>
      </c>
      <c r="K39" s="103">
        <v>11</v>
      </c>
      <c r="L39" s="103"/>
      <c r="M39" s="103">
        <v>10</v>
      </c>
      <c r="N39" s="103"/>
      <c r="O39" s="103"/>
      <c r="P39" s="103"/>
      <c r="Q39" s="103"/>
      <c r="R39" s="103"/>
      <c r="S39" s="103"/>
      <c r="T39" s="103"/>
      <c r="U39" s="103"/>
      <c r="V39" s="97">
        <f t="shared" si="2"/>
        <v>0</v>
      </c>
      <c r="W39" s="97">
        <f t="shared" si="3"/>
        <v>0</v>
      </c>
      <c r="X39" s="97">
        <f t="shared" si="4"/>
        <v>0</v>
      </c>
      <c r="Y39" s="97">
        <f t="shared" si="5"/>
        <v>0</v>
      </c>
      <c r="Z39" s="96"/>
    </row>
    <row r="40" spans="1:26" ht="16.5" customHeight="1">
      <c r="A40" s="188"/>
      <c r="B40" s="186"/>
      <c r="C40" s="187"/>
      <c r="D40" s="108" t="s">
        <v>331</v>
      </c>
      <c r="E40" s="105" t="s">
        <v>22</v>
      </c>
      <c r="F40" s="103">
        <v>11</v>
      </c>
      <c r="G40" s="103">
        <v>12</v>
      </c>
      <c r="H40" s="103"/>
      <c r="I40" s="103">
        <v>14</v>
      </c>
      <c r="J40" s="103">
        <v>11</v>
      </c>
      <c r="K40" s="103">
        <v>10</v>
      </c>
      <c r="L40" s="103"/>
      <c r="M40" s="103">
        <v>12</v>
      </c>
      <c r="N40" s="103"/>
      <c r="O40" s="103"/>
      <c r="P40" s="103"/>
      <c r="Q40" s="103"/>
      <c r="R40" s="103">
        <v>6</v>
      </c>
      <c r="S40" s="103">
        <v>2</v>
      </c>
      <c r="T40" s="103"/>
      <c r="U40" s="103"/>
      <c r="V40" s="97">
        <f t="shared" si="2"/>
        <v>6</v>
      </c>
      <c r="W40" s="97">
        <f t="shared" si="3"/>
        <v>2</v>
      </c>
      <c r="X40" s="97">
        <f t="shared" si="4"/>
        <v>0</v>
      </c>
      <c r="Y40" s="97">
        <f t="shared" si="5"/>
        <v>0</v>
      </c>
      <c r="Z40" s="96"/>
    </row>
    <row r="41" spans="1:26" ht="21" customHeight="1">
      <c r="A41" s="188"/>
      <c r="B41" s="186"/>
      <c r="C41" s="187"/>
      <c r="D41" s="108" t="s">
        <v>332</v>
      </c>
      <c r="E41" s="105" t="s">
        <v>45</v>
      </c>
      <c r="F41" s="103">
        <v>11</v>
      </c>
      <c r="G41" s="103">
        <v>10</v>
      </c>
      <c r="H41" s="103"/>
      <c r="I41" s="103">
        <v>13</v>
      </c>
      <c r="J41" s="103">
        <v>11</v>
      </c>
      <c r="K41" s="103">
        <v>8</v>
      </c>
      <c r="L41" s="103"/>
      <c r="M41" s="103">
        <v>8</v>
      </c>
      <c r="N41" s="103"/>
      <c r="O41" s="103"/>
      <c r="P41" s="103"/>
      <c r="Q41" s="103"/>
      <c r="R41" s="103">
        <v>3</v>
      </c>
      <c r="S41" s="103">
        <v>1</v>
      </c>
      <c r="T41" s="103"/>
      <c r="U41" s="103"/>
      <c r="V41" s="97">
        <f t="shared" si="2"/>
        <v>3</v>
      </c>
      <c r="W41" s="97">
        <f t="shared" si="3"/>
        <v>1</v>
      </c>
      <c r="X41" s="97">
        <f t="shared" si="4"/>
        <v>0</v>
      </c>
      <c r="Y41" s="97">
        <f t="shared" si="5"/>
        <v>0</v>
      </c>
      <c r="Z41" s="96"/>
    </row>
    <row r="42" spans="1:26" ht="18" customHeight="1">
      <c r="A42" s="188"/>
      <c r="B42" s="186"/>
      <c r="C42" s="187"/>
      <c r="D42" s="108" t="s">
        <v>333</v>
      </c>
      <c r="E42" s="105" t="s">
        <v>45</v>
      </c>
      <c r="F42" s="103">
        <v>12</v>
      </c>
      <c r="G42" s="103">
        <v>16</v>
      </c>
      <c r="H42" s="103"/>
      <c r="I42" s="103">
        <v>19</v>
      </c>
      <c r="J42" s="103">
        <v>12</v>
      </c>
      <c r="K42" s="103">
        <v>13</v>
      </c>
      <c r="L42" s="103"/>
      <c r="M42" s="103">
        <v>13</v>
      </c>
      <c r="N42" s="103">
        <v>1</v>
      </c>
      <c r="O42" s="103"/>
      <c r="P42" s="103"/>
      <c r="Q42" s="103"/>
      <c r="R42" s="103">
        <v>1</v>
      </c>
      <c r="S42" s="103"/>
      <c r="T42" s="103"/>
      <c r="U42" s="103"/>
      <c r="V42" s="97">
        <f t="shared" si="2"/>
        <v>2</v>
      </c>
      <c r="W42" s="97">
        <f t="shared" si="3"/>
        <v>0</v>
      </c>
      <c r="X42" s="97">
        <f t="shared" si="4"/>
        <v>0</v>
      </c>
      <c r="Y42" s="97">
        <f t="shared" si="5"/>
        <v>0</v>
      </c>
      <c r="Z42" s="96"/>
    </row>
    <row r="43" spans="1:26" ht="22.5" customHeight="1">
      <c r="A43" s="188">
        <v>9</v>
      </c>
      <c r="B43" s="186">
        <v>2</v>
      </c>
      <c r="C43" s="187" t="s">
        <v>239</v>
      </c>
      <c r="D43" s="108" t="s">
        <v>334</v>
      </c>
      <c r="E43" s="105" t="s">
        <v>45</v>
      </c>
      <c r="F43" s="103">
        <v>11</v>
      </c>
      <c r="G43" s="103">
        <v>10</v>
      </c>
      <c r="H43" s="103"/>
      <c r="I43" s="103">
        <v>13</v>
      </c>
      <c r="J43" s="103">
        <v>11</v>
      </c>
      <c r="K43" s="103">
        <v>10</v>
      </c>
      <c r="L43" s="103"/>
      <c r="M43" s="103">
        <v>12</v>
      </c>
      <c r="N43" s="103"/>
      <c r="O43" s="103"/>
      <c r="P43" s="103"/>
      <c r="Q43" s="103"/>
      <c r="R43" s="103">
        <v>5</v>
      </c>
      <c r="S43" s="103"/>
      <c r="T43" s="103"/>
      <c r="U43" s="103"/>
      <c r="V43" s="97">
        <f t="shared" si="2"/>
        <v>5</v>
      </c>
      <c r="W43" s="97">
        <f t="shared" si="3"/>
        <v>0</v>
      </c>
      <c r="X43" s="97">
        <f t="shared" si="4"/>
        <v>0</v>
      </c>
      <c r="Y43" s="97">
        <f t="shared" si="5"/>
        <v>0</v>
      </c>
      <c r="Z43" s="96"/>
    </row>
    <row r="44" spans="1:26" ht="21" customHeight="1">
      <c r="A44" s="188"/>
      <c r="B44" s="186"/>
      <c r="C44" s="187"/>
      <c r="D44" s="108" t="s">
        <v>335</v>
      </c>
      <c r="E44" s="105" t="s">
        <v>22</v>
      </c>
      <c r="F44" s="103">
        <v>11</v>
      </c>
      <c r="G44" s="103">
        <v>12</v>
      </c>
      <c r="H44" s="103"/>
      <c r="I44" s="103">
        <v>14</v>
      </c>
      <c r="J44" s="103">
        <v>11</v>
      </c>
      <c r="K44" s="103">
        <v>9</v>
      </c>
      <c r="L44" s="103"/>
      <c r="M44" s="103">
        <v>10</v>
      </c>
      <c r="N44" s="103"/>
      <c r="O44" s="103"/>
      <c r="P44" s="103"/>
      <c r="Q44" s="103"/>
      <c r="R44" s="103">
        <v>1</v>
      </c>
      <c r="S44" s="103"/>
      <c r="T44" s="103"/>
      <c r="U44" s="103"/>
      <c r="V44" s="97">
        <f t="shared" si="2"/>
        <v>1</v>
      </c>
      <c r="W44" s="97">
        <f t="shared" si="3"/>
        <v>0</v>
      </c>
      <c r="X44" s="97">
        <f t="shared" si="4"/>
        <v>0</v>
      </c>
      <c r="Y44" s="97">
        <f t="shared" si="5"/>
        <v>0</v>
      </c>
      <c r="Z44" s="96"/>
    </row>
    <row r="45" spans="1:26" ht="21" customHeight="1">
      <c r="A45" s="188"/>
      <c r="B45" s="186"/>
      <c r="C45" s="187"/>
      <c r="D45" s="108" t="s">
        <v>336</v>
      </c>
      <c r="E45" s="105" t="s">
        <v>45</v>
      </c>
      <c r="F45" s="103">
        <v>11</v>
      </c>
      <c r="G45" s="103">
        <v>10</v>
      </c>
      <c r="H45" s="103"/>
      <c r="I45" s="103">
        <v>13</v>
      </c>
      <c r="J45" s="103">
        <v>10</v>
      </c>
      <c r="K45" s="103">
        <v>10</v>
      </c>
      <c r="L45" s="103"/>
      <c r="M45" s="103">
        <v>7</v>
      </c>
      <c r="N45" s="103"/>
      <c r="O45" s="103"/>
      <c r="P45" s="103"/>
      <c r="Q45" s="103"/>
      <c r="R45" s="103">
        <v>4</v>
      </c>
      <c r="S45" s="103">
        <v>1</v>
      </c>
      <c r="T45" s="103"/>
      <c r="U45" s="103"/>
      <c r="V45" s="97">
        <f t="shared" si="2"/>
        <v>4</v>
      </c>
      <c r="W45" s="97">
        <f t="shared" si="3"/>
        <v>1</v>
      </c>
      <c r="X45" s="97">
        <f t="shared" si="4"/>
        <v>0</v>
      </c>
      <c r="Y45" s="97">
        <f t="shared" si="5"/>
        <v>0</v>
      </c>
      <c r="Z45" s="96"/>
    </row>
    <row r="46" spans="1:26" ht="21" customHeight="1">
      <c r="A46" s="188"/>
      <c r="B46" s="186"/>
      <c r="C46" s="187"/>
      <c r="D46" s="108" t="s">
        <v>337</v>
      </c>
      <c r="E46" s="105" t="s">
        <v>45</v>
      </c>
      <c r="F46" s="103">
        <v>11</v>
      </c>
      <c r="G46" s="103">
        <v>10</v>
      </c>
      <c r="H46" s="103"/>
      <c r="I46" s="103">
        <v>13</v>
      </c>
      <c r="J46" s="103">
        <v>11</v>
      </c>
      <c r="K46" s="103">
        <v>10</v>
      </c>
      <c r="L46" s="103"/>
      <c r="M46" s="103">
        <v>9</v>
      </c>
      <c r="N46" s="103"/>
      <c r="O46" s="103"/>
      <c r="P46" s="103"/>
      <c r="Q46" s="103"/>
      <c r="R46" s="103"/>
      <c r="S46" s="103"/>
      <c r="T46" s="103"/>
      <c r="U46" s="103"/>
      <c r="V46" s="97">
        <f t="shared" si="2"/>
        <v>0</v>
      </c>
      <c r="W46" s="97">
        <f t="shared" si="3"/>
        <v>0</v>
      </c>
      <c r="X46" s="97">
        <f t="shared" si="4"/>
        <v>0</v>
      </c>
      <c r="Y46" s="97">
        <f t="shared" si="5"/>
        <v>0</v>
      </c>
      <c r="Z46" s="96"/>
    </row>
    <row r="47" spans="1:26" ht="16.5">
      <c r="A47" s="188">
        <v>10</v>
      </c>
      <c r="B47" s="186">
        <v>3</v>
      </c>
      <c r="C47" s="187" t="s">
        <v>240</v>
      </c>
      <c r="D47" s="108" t="s">
        <v>338</v>
      </c>
      <c r="E47" s="105" t="s">
        <v>22</v>
      </c>
      <c r="F47" s="103">
        <v>11</v>
      </c>
      <c r="G47" s="103">
        <v>11</v>
      </c>
      <c r="H47" s="103"/>
      <c r="I47" s="103">
        <v>14</v>
      </c>
      <c r="J47" s="103">
        <v>11</v>
      </c>
      <c r="K47" s="103">
        <v>10</v>
      </c>
      <c r="L47" s="103"/>
      <c r="M47" s="103">
        <v>10</v>
      </c>
      <c r="N47" s="103"/>
      <c r="O47" s="103"/>
      <c r="P47" s="103"/>
      <c r="Q47" s="103"/>
      <c r="R47" s="103"/>
      <c r="S47" s="103">
        <v>1</v>
      </c>
      <c r="T47" s="103"/>
      <c r="U47" s="103"/>
      <c r="V47" s="97">
        <f t="shared" si="2"/>
        <v>0</v>
      </c>
      <c r="W47" s="97">
        <f t="shared" si="3"/>
        <v>1</v>
      </c>
      <c r="X47" s="97">
        <f t="shared" si="4"/>
        <v>0</v>
      </c>
      <c r="Y47" s="97">
        <f t="shared" si="5"/>
        <v>0</v>
      </c>
      <c r="Z47" s="96"/>
    </row>
    <row r="48" spans="1:26" ht="16.5">
      <c r="A48" s="188"/>
      <c r="B48" s="186"/>
      <c r="C48" s="187"/>
      <c r="D48" s="108" t="s">
        <v>339</v>
      </c>
      <c r="E48" s="105" t="s">
        <v>22</v>
      </c>
      <c r="F48" s="103">
        <v>11</v>
      </c>
      <c r="G48" s="103">
        <v>11</v>
      </c>
      <c r="H48" s="103"/>
      <c r="I48" s="103">
        <v>14</v>
      </c>
      <c r="J48" s="103">
        <v>11</v>
      </c>
      <c r="K48" s="103">
        <v>9</v>
      </c>
      <c r="L48" s="103"/>
      <c r="M48" s="103">
        <v>12</v>
      </c>
      <c r="N48" s="103"/>
      <c r="O48" s="103"/>
      <c r="P48" s="103"/>
      <c r="Q48" s="103"/>
      <c r="R48" s="103">
        <v>4</v>
      </c>
      <c r="S48" s="103">
        <v>1</v>
      </c>
      <c r="T48" s="103"/>
      <c r="U48" s="103"/>
      <c r="V48" s="97">
        <f t="shared" si="2"/>
        <v>4</v>
      </c>
      <c r="W48" s="97">
        <f t="shared" si="3"/>
        <v>1</v>
      </c>
      <c r="X48" s="97">
        <f t="shared" si="4"/>
        <v>0</v>
      </c>
      <c r="Y48" s="97">
        <f t="shared" si="5"/>
        <v>0</v>
      </c>
      <c r="Z48" s="96"/>
    </row>
    <row r="49" spans="1:26" ht="16.5">
      <c r="A49" s="188"/>
      <c r="B49" s="186"/>
      <c r="C49" s="187"/>
      <c r="D49" s="108" t="s">
        <v>340</v>
      </c>
      <c r="E49" s="105" t="s">
        <v>45</v>
      </c>
      <c r="F49" s="103">
        <v>11</v>
      </c>
      <c r="G49" s="103">
        <v>10</v>
      </c>
      <c r="H49" s="103"/>
      <c r="I49" s="103">
        <v>13</v>
      </c>
      <c r="J49" s="103">
        <v>11</v>
      </c>
      <c r="K49" s="103">
        <v>9</v>
      </c>
      <c r="L49" s="103"/>
      <c r="M49" s="103">
        <v>9</v>
      </c>
      <c r="N49" s="103">
        <v>1</v>
      </c>
      <c r="O49" s="103"/>
      <c r="P49" s="103"/>
      <c r="Q49" s="103"/>
      <c r="R49" s="103">
        <v>2</v>
      </c>
      <c r="S49" s="103">
        <v>2</v>
      </c>
      <c r="T49" s="103"/>
      <c r="U49" s="103"/>
      <c r="V49" s="97">
        <f t="shared" si="2"/>
        <v>3</v>
      </c>
      <c r="W49" s="97">
        <f t="shared" si="3"/>
        <v>2</v>
      </c>
      <c r="X49" s="97">
        <f t="shared" si="4"/>
        <v>0</v>
      </c>
      <c r="Y49" s="97">
        <f t="shared" si="5"/>
        <v>0</v>
      </c>
      <c r="Z49" s="96"/>
    </row>
    <row r="50" spans="1:26" ht="16.5">
      <c r="A50" s="188"/>
      <c r="B50" s="186"/>
      <c r="C50" s="187"/>
      <c r="D50" s="108" t="s">
        <v>341</v>
      </c>
      <c r="E50" s="105" t="s">
        <v>22</v>
      </c>
      <c r="F50" s="103">
        <v>11</v>
      </c>
      <c r="G50" s="103">
        <v>11</v>
      </c>
      <c r="H50" s="103"/>
      <c r="I50" s="103">
        <v>14</v>
      </c>
      <c r="J50" s="103">
        <v>10</v>
      </c>
      <c r="K50" s="103">
        <v>10</v>
      </c>
      <c r="L50" s="103"/>
      <c r="M50" s="103">
        <v>12</v>
      </c>
      <c r="N50" s="103"/>
      <c r="O50" s="103"/>
      <c r="P50" s="103"/>
      <c r="Q50" s="103"/>
      <c r="R50" s="103">
        <v>2</v>
      </c>
      <c r="S50" s="103"/>
      <c r="T50" s="103"/>
      <c r="U50" s="103"/>
      <c r="V50" s="97">
        <f t="shared" si="2"/>
        <v>2</v>
      </c>
      <c r="W50" s="97">
        <f t="shared" si="3"/>
        <v>0</v>
      </c>
      <c r="X50" s="97">
        <f t="shared" si="4"/>
        <v>0</v>
      </c>
      <c r="Y50" s="97">
        <f t="shared" si="5"/>
        <v>0</v>
      </c>
      <c r="Z50" s="96"/>
    </row>
    <row r="51" spans="1:26" ht="16.5">
      <c r="A51" s="188">
        <v>11</v>
      </c>
      <c r="B51" s="186">
        <v>4</v>
      </c>
      <c r="C51" s="187" t="s">
        <v>241</v>
      </c>
      <c r="D51" s="108" t="s">
        <v>342</v>
      </c>
      <c r="E51" s="105" t="s">
        <v>45</v>
      </c>
      <c r="F51" s="103">
        <v>11</v>
      </c>
      <c r="G51" s="103">
        <v>11</v>
      </c>
      <c r="H51" s="103"/>
      <c r="I51" s="103">
        <v>13</v>
      </c>
      <c r="J51" s="103">
        <v>10</v>
      </c>
      <c r="K51" s="103">
        <v>9</v>
      </c>
      <c r="L51" s="103"/>
      <c r="M51" s="103">
        <v>9</v>
      </c>
      <c r="N51" s="103"/>
      <c r="O51" s="103"/>
      <c r="P51" s="103"/>
      <c r="Q51" s="103"/>
      <c r="R51" s="103">
        <v>3</v>
      </c>
      <c r="S51" s="103"/>
      <c r="T51" s="103"/>
      <c r="U51" s="103"/>
      <c r="V51" s="97">
        <f t="shared" si="2"/>
        <v>3</v>
      </c>
      <c r="W51" s="97">
        <f t="shared" si="3"/>
        <v>0</v>
      </c>
      <c r="X51" s="97">
        <f t="shared" si="4"/>
        <v>0</v>
      </c>
      <c r="Y51" s="97">
        <f t="shared" si="5"/>
        <v>0</v>
      </c>
      <c r="Z51" s="96"/>
    </row>
    <row r="52" spans="1:26" ht="16.5" customHeight="1">
      <c r="A52" s="188"/>
      <c r="B52" s="186"/>
      <c r="C52" s="187"/>
      <c r="D52" s="108" t="s">
        <v>241</v>
      </c>
      <c r="E52" s="105" t="s">
        <v>22</v>
      </c>
      <c r="F52" s="103">
        <v>11</v>
      </c>
      <c r="G52" s="103">
        <v>15</v>
      </c>
      <c r="H52" s="103"/>
      <c r="I52" s="103">
        <v>18</v>
      </c>
      <c r="J52" s="103">
        <v>10</v>
      </c>
      <c r="K52" s="103">
        <v>10</v>
      </c>
      <c r="L52" s="103"/>
      <c r="M52" s="103">
        <v>10</v>
      </c>
      <c r="N52" s="103"/>
      <c r="O52" s="103"/>
      <c r="P52" s="103"/>
      <c r="Q52" s="103"/>
      <c r="R52" s="103"/>
      <c r="S52" s="103">
        <v>1</v>
      </c>
      <c r="T52" s="103"/>
      <c r="U52" s="103"/>
      <c r="V52" s="97">
        <f t="shared" si="2"/>
        <v>0</v>
      </c>
      <c r="W52" s="97">
        <f t="shared" si="3"/>
        <v>1</v>
      </c>
      <c r="X52" s="97">
        <f t="shared" si="4"/>
        <v>0</v>
      </c>
      <c r="Y52" s="97">
        <f t="shared" si="5"/>
        <v>0</v>
      </c>
      <c r="Z52" s="96"/>
    </row>
    <row r="53" spans="1:26" s="101" customFormat="1" ht="22.5" customHeight="1">
      <c r="A53" s="201"/>
      <c r="B53" s="202"/>
      <c r="C53" s="199" t="s">
        <v>23</v>
      </c>
      <c r="D53" s="200"/>
      <c r="E53" s="98"/>
      <c r="F53" s="99">
        <f>SUM(F54:F68)</f>
        <v>164</v>
      </c>
      <c r="G53" s="99">
        <f t="shared" ref="G53:Y53" si="7">SUM(G54:G68)</f>
        <v>157</v>
      </c>
      <c r="H53" s="99">
        <f t="shared" si="7"/>
        <v>0</v>
      </c>
      <c r="I53" s="99">
        <f t="shared" si="7"/>
        <v>192</v>
      </c>
      <c r="J53" s="99">
        <f t="shared" si="7"/>
        <v>159</v>
      </c>
      <c r="K53" s="99">
        <f t="shared" si="7"/>
        <v>147</v>
      </c>
      <c r="L53" s="99">
        <f t="shared" si="7"/>
        <v>0</v>
      </c>
      <c r="M53" s="99">
        <f t="shared" si="7"/>
        <v>168</v>
      </c>
      <c r="N53" s="99">
        <f t="shared" si="7"/>
        <v>4</v>
      </c>
      <c r="O53" s="99">
        <f t="shared" si="7"/>
        <v>0</v>
      </c>
      <c r="P53" s="99">
        <f t="shared" si="7"/>
        <v>0</v>
      </c>
      <c r="Q53" s="99">
        <f t="shared" si="7"/>
        <v>0</v>
      </c>
      <c r="R53" s="99">
        <f t="shared" si="7"/>
        <v>34</v>
      </c>
      <c r="S53" s="99">
        <f t="shared" si="7"/>
        <v>22</v>
      </c>
      <c r="T53" s="99">
        <f t="shared" si="7"/>
        <v>0</v>
      </c>
      <c r="U53" s="99">
        <f t="shared" si="7"/>
        <v>0</v>
      </c>
      <c r="V53" s="99">
        <f t="shared" si="7"/>
        <v>38</v>
      </c>
      <c r="W53" s="99">
        <f t="shared" si="7"/>
        <v>22</v>
      </c>
      <c r="X53" s="99">
        <f t="shared" si="7"/>
        <v>0</v>
      </c>
      <c r="Y53" s="99">
        <f t="shared" si="7"/>
        <v>0</v>
      </c>
      <c r="Z53" s="100"/>
    </row>
    <row r="54" spans="1:26" ht="21" customHeight="1">
      <c r="A54" s="188">
        <v>12</v>
      </c>
      <c r="B54" s="186">
        <v>1</v>
      </c>
      <c r="C54" s="187" t="s">
        <v>243</v>
      </c>
      <c r="D54" s="106" t="s">
        <v>11</v>
      </c>
      <c r="E54" s="107" t="s">
        <v>22</v>
      </c>
      <c r="F54" s="103">
        <v>11</v>
      </c>
      <c r="G54" s="103">
        <v>12</v>
      </c>
      <c r="H54" s="103"/>
      <c r="I54" s="103">
        <v>14</v>
      </c>
      <c r="J54" s="103">
        <v>10</v>
      </c>
      <c r="K54" s="103">
        <v>11</v>
      </c>
      <c r="L54" s="103"/>
      <c r="M54" s="103">
        <v>13</v>
      </c>
      <c r="N54" s="103"/>
      <c r="O54" s="103"/>
      <c r="P54" s="103"/>
      <c r="Q54" s="103"/>
      <c r="R54" s="103">
        <v>2</v>
      </c>
      <c r="S54" s="103">
        <v>1</v>
      </c>
      <c r="T54" s="103"/>
      <c r="U54" s="103"/>
      <c r="V54" s="97">
        <f t="shared" si="2"/>
        <v>2</v>
      </c>
      <c r="W54" s="97">
        <f t="shared" si="3"/>
        <v>1</v>
      </c>
      <c r="X54" s="97">
        <f t="shared" si="4"/>
        <v>0</v>
      </c>
      <c r="Y54" s="97">
        <f t="shared" si="5"/>
        <v>0</v>
      </c>
      <c r="Z54" s="96"/>
    </row>
    <row r="55" spans="1:26" ht="21" customHeight="1">
      <c r="A55" s="188"/>
      <c r="B55" s="186"/>
      <c r="C55" s="187"/>
      <c r="D55" s="106" t="s">
        <v>18</v>
      </c>
      <c r="E55" s="107" t="s">
        <v>45</v>
      </c>
      <c r="F55" s="103">
        <v>11</v>
      </c>
      <c r="G55" s="103">
        <v>10</v>
      </c>
      <c r="H55" s="103"/>
      <c r="I55" s="103">
        <v>12</v>
      </c>
      <c r="J55" s="103">
        <v>10</v>
      </c>
      <c r="K55" s="103">
        <v>10</v>
      </c>
      <c r="L55" s="103"/>
      <c r="M55" s="103">
        <v>12</v>
      </c>
      <c r="N55" s="103"/>
      <c r="O55" s="103"/>
      <c r="P55" s="103"/>
      <c r="Q55" s="103"/>
      <c r="R55" s="103">
        <v>3</v>
      </c>
      <c r="S55" s="103">
        <v>1</v>
      </c>
      <c r="T55" s="103"/>
      <c r="U55" s="103"/>
      <c r="V55" s="97">
        <f t="shared" si="2"/>
        <v>3</v>
      </c>
      <c r="W55" s="97">
        <f t="shared" si="3"/>
        <v>1</v>
      </c>
      <c r="X55" s="97">
        <f t="shared" si="4"/>
        <v>0</v>
      </c>
      <c r="Y55" s="97">
        <f t="shared" si="5"/>
        <v>0</v>
      </c>
      <c r="Z55" s="96"/>
    </row>
    <row r="56" spans="1:26" ht="21" customHeight="1">
      <c r="A56" s="188"/>
      <c r="B56" s="186"/>
      <c r="C56" s="187"/>
      <c r="D56" s="106" t="s">
        <v>8</v>
      </c>
      <c r="E56" s="107" t="s">
        <v>22</v>
      </c>
      <c r="F56" s="103">
        <v>11</v>
      </c>
      <c r="G56" s="103">
        <v>12</v>
      </c>
      <c r="H56" s="103"/>
      <c r="I56" s="103">
        <v>14</v>
      </c>
      <c r="J56" s="103">
        <v>10</v>
      </c>
      <c r="K56" s="103">
        <v>11</v>
      </c>
      <c r="L56" s="103"/>
      <c r="M56" s="103">
        <v>13</v>
      </c>
      <c r="N56" s="103">
        <v>1</v>
      </c>
      <c r="O56" s="103"/>
      <c r="P56" s="103"/>
      <c r="Q56" s="103"/>
      <c r="R56" s="103">
        <v>1</v>
      </c>
      <c r="S56" s="103"/>
      <c r="T56" s="103"/>
      <c r="U56" s="103"/>
      <c r="V56" s="97">
        <f t="shared" si="2"/>
        <v>2</v>
      </c>
      <c r="W56" s="97">
        <f t="shared" si="3"/>
        <v>0</v>
      </c>
      <c r="X56" s="97">
        <f t="shared" si="4"/>
        <v>0</v>
      </c>
      <c r="Y56" s="97">
        <f t="shared" si="5"/>
        <v>0</v>
      </c>
      <c r="Z56" s="96"/>
    </row>
    <row r="57" spans="1:26" ht="21" customHeight="1">
      <c r="A57" s="188"/>
      <c r="B57" s="186"/>
      <c r="C57" s="187"/>
      <c r="D57" s="106" t="s">
        <v>14</v>
      </c>
      <c r="E57" s="107" t="s">
        <v>45</v>
      </c>
      <c r="F57" s="103">
        <v>10</v>
      </c>
      <c r="G57" s="103">
        <v>10</v>
      </c>
      <c r="H57" s="103"/>
      <c r="I57" s="103">
        <v>12</v>
      </c>
      <c r="J57" s="103">
        <v>10</v>
      </c>
      <c r="K57" s="103">
        <v>10</v>
      </c>
      <c r="L57" s="103"/>
      <c r="M57" s="103">
        <v>9</v>
      </c>
      <c r="N57" s="103"/>
      <c r="O57" s="103"/>
      <c r="P57" s="103"/>
      <c r="Q57" s="103"/>
      <c r="R57" s="103">
        <v>3</v>
      </c>
      <c r="S57" s="103"/>
      <c r="T57" s="103"/>
      <c r="U57" s="103"/>
      <c r="V57" s="97">
        <f t="shared" si="2"/>
        <v>3</v>
      </c>
      <c r="W57" s="97">
        <f t="shared" si="3"/>
        <v>0</v>
      </c>
      <c r="X57" s="97">
        <f t="shared" si="4"/>
        <v>0</v>
      </c>
      <c r="Y57" s="97">
        <f t="shared" si="5"/>
        <v>0</v>
      </c>
      <c r="Z57" s="96"/>
    </row>
    <row r="58" spans="1:26" ht="21" customHeight="1">
      <c r="A58" s="188"/>
      <c r="B58" s="186"/>
      <c r="C58" s="187"/>
      <c r="D58" s="106" t="s">
        <v>9</v>
      </c>
      <c r="E58" s="107" t="s">
        <v>22</v>
      </c>
      <c r="F58" s="103">
        <v>11</v>
      </c>
      <c r="G58" s="103">
        <v>11</v>
      </c>
      <c r="H58" s="103"/>
      <c r="I58" s="103">
        <v>14</v>
      </c>
      <c r="J58" s="103">
        <v>11</v>
      </c>
      <c r="K58" s="103">
        <v>11</v>
      </c>
      <c r="L58" s="103"/>
      <c r="M58" s="103">
        <v>13</v>
      </c>
      <c r="N58" s="103"/>
      <c r="O58" s="103"/>
      <c r="P58" s="103"/>
      <c r="Q58" s="103"/>
      <c r="R58" s="103">
        <v>2</v>
      </c>
      <c r="S58" s="103">
        <v>3</v>
      </c>
      <c r="T58" s="103"/>
      <c r="U58" s="103"/>
      <c r="V58" s="97">
        <f t="shared" si="2"/>
        <v>2</v>
      </c>
      <c r="W58" s="97">
        <f t="shared" si="3"/>
        <v>3</v>
      </c>
      <c r="X58" s="97">
        <f t="shared" si="4"/>
        <v>0</v>
      </c>
      <c r="Y58" s="97">
        <f t="shared" si="5"/>
        <v>0</v>
      </c>
      <c r="Z58" s="96"/>
    </row>
    <row r="59" spans="1:26" ht="21" customHeight="1">
      <c r="A59" s="188"/>
      <c r="B59" s="186"/>
      <c r="C59" s="187"/>
      <c r="D59" s="106" t="s">
        <v>15</v>
      </c>
      <c r="E59" s="107" t="s">
        <v>45</v>
      </c>
      <c r="F59" s="103">
        <v>11</v>
      </c>
      <c r="G59" s="103">
        <v>10</v>
      </c>
      <c r="H59" s="103"/>
      <c r="I59" s="103">
        <v>12</v>
      </c>
      <c r="J59" s="103">
        <v>11</v>
      </c>
      <c r="K59" s="103">
        <v>9</v>
      </c>
      <c r="L59" s="103"/>
      <c r="M59" s="103">
        <v>9</v>
      </c>
      <c r="N59" s="103">
        <v>1</v>
      </c>
      <c r="O59" s="103"/>
      <c r="P59" s="103"/>
      <c r="Q59" s="103"/>
      <c r="R59" s="103">
        <v>2</v>
      </c>
      <c r="S59" s="103">
        <v>1</v>
      </c>
      <c r="T59" s="103"/>
      <c r="U59" s="103"/>
      <c r="V59" s="97">
        <f t="shared" si="2"/>
        <v>3</v>
      </c>
      <c r="W59" s="97">
        <f t="shared" si="3"/>
        <v>1</v>
      </c>
      <c r="X59" s="97">
        <f t="shared" si="4"/>
        <v>0</v>
      </c>
      <c r="Y59" s="97">
        <f t="shared" si="5"/>
        <v>0</v>
      </c>
      <c r="Z59" s="96"/>
    </row>
    <row r="60" spans="1:26" ht="21" customHeight="1">
      <c r="A60" s="188"/>
      <c r="B60" s="186"/>
      <c r="C60" s="187"/>
      <c r="D60" s="106" t="s">
        <v>17</v>
      </c>
      <c r="E60" s="107" t="s">
        <v>45</v>
      </c>
      <c r="F60" s="103">
        <v>11</v>
      </c>
      <c r="G60" s="103">
        <v>9</v>
      </c>
      <c r="H60" s="103"/>
      <c r="I60" s="103">
        <v>12</v>
      </c>
      <c r="J60" s="103">
        <v>11</v>
      </c>
      <c r="K60" s="103">
        <v>8</v>
      </c>
      <c r="L60" s="103"/>
      <c r="M60" s="103">
        <v>10</v>
      </c>
      <c r="N60" s="103"/>
      <c r="O60" s="103"/>
      <c r="P60" s="103"/>
      <c r="Q60" s="103"/>
      <c r="R60" s="103">
        <v>1</v>
      </c>
      <c r="S60" s="103">
        <v>1</v>
      </c>
      <c r="T60" s="103"/>
      <c r="U60" s="103"/>
      <c r="V60" s="97">
        <f t="shared" si="2"/>
        <v>1</v>
      </c>
      <c r="W60" s="97">
        <f t="shared" si="3"/>
        <v>1</v>
      </c>
      <c r="X60" s="97">
        <f t="shared" si="4"/>
        <v>0</v>
      </c>
      <c r="Y60" s="97">
        <f t="shared" si="5"/>
        <v>0</v>
      </c>
      <c r="Z60" s="96"/>
    </row>
    <row r="61" spans="1:26" ht="21" customHeight="1">
      <c r="A61" s="188"/>
      <c r="B61" s="186"/>
      <c r="C61" s="187"/>
      <c r="D61" s="106" t="s">
        <v>16</v>
      </c>
      <c r="E61" s="107" t="s">
        <v>45</v>
      </c>
      <c r="F61" s="103">
        <v>11</v>
      </c>
      <c r="G61" s="103">
        <v>10</v>
      </c>
      <c r="H61" s="103"/>
      <c r="I61" s="103">
        <v>12</v>
      </c>
      <c r="J61" s="103">
        <v>11</v>
      </c>
      <c r="K61" s="103">
        <v>9</v>
      </c>
      <c r="L61" s="103"/>
      <c r="M61" s="103">
        <v>10</v>
      </c>
      <c r="N61" s="103"/>
      <c r="O61" s="103"/>
      <c r="P61" s="103"/>
      <c r="Q61" s="103"/>
      <c r="R61" s="103">
        <v>2</v>
      </c>
      <c r="S61" s="103">
        <v>2</v>
      </c>
      <c r="T61" s="103"/>
      <c r="U61" s="103"/>
      <c r="V61" s="97">
        <f t="shared" si="2"/>
        <v>2</v>
      </c>
      <c r="W61" s="97">
        <f t="shared" si="3"/>
        <v>2</v>
      </c>
      <c r="X61" s="97">
        <f t="shared" si="4"/>
        <v>0</v>
      </c>
      <c r="Y61" s="97">
        <f t="shared" si="5"/>
        <v>0</v>
      </c>
      <c r="Z61" s="96"/>
    </row>
    <row r="62" spans="1:26" ht="21" customHeight="1">
      <c r="A62" s="188">
        <v>13</v>
      </c>
      <c r="B62" s="186">
        <v>2</v>
      </c>
      <c r="C62" s="187" t="s">
        <v>257</v>
      </c>
      <c r="D62" s="106" t="s">
        <v>12</v>
      </c>
      <c r="E62" s="107" t="s">
        <v>22</v>
      </c>
      <c r="F62" s="103">
        <v>11</v>
      </c>
      <c r="G62" s="103">
        <v>12</v>
      </c>
      <c r="H62" s="103"/>
      <c r="I62" s="103">
        <v>14</v>
      </c>
      <c r="J62" s="103">
        <v>11</v>
      </c>
      <c r="K62" s="103">
        <v>11</v>
      </c>
      <c r="L62" s="103"/>
      <c r="M62" s="103">
        <v>12</v>
      </c>
      <c r="N62" s="103"/>
      <c r="O62" s="103"/>
      <c r="P62" s="103"/>
      <c r="Q62" s="103"/>
      <c r="R62" s="103">
        <v>3</v>
      </c>
      <c r="S62" s="103">
        <v>2</v>
      </c>
      <c r="T62" s="103"/>
      <c r="U62" s="103"/>
      <c r="V62" s="97">
        <f t="shared" si="2"/>
        <v>3</v>
      </c>
      <c r="W62" s="97">
        <f t="shared" si="3"/>
        <v>2</v>
      </c>
      <c r="X62" s="97">
        <f t="shared" si="4"/>
        <v>0</v>
      </c>
      <c r="Y62" s="97">
        <f t="shared" si="5"/>
        <v>0</v>
      </c>
      <c r="Z62" s="96"/>
    </row>
    <row r="63" spans="1:26" ht="21" customHeight="1">
      <c r="A63" s="188"/>
      <c r="B63" s="186"/>
      <c r="C63" s="187"/>
      <c r="D63" s="106" t="s">
        <v>19</v>
      </c>
      <c r="E63" s="107" t="s">
        <v>45</v>
      </c>
      <c r="F63" s="103">
        <v>11</v>
      </c>
      <c r="G63" s="103">
        <v>9</v>
      </c>
      <c r="H63" s="103"/>
      <c r="I63" s="103">
        <v>12</v>
      </c>
      <c r="J63" s="103">
        <v>10</v>
      </c>
      <c r="K63" s="103">
        <v>9</v>
      </c>
      <c r="L63" s="103"/>
      <c r="M63" s="103">
        <v>9</v>
      </c>
      <c r="N63" s="103"/>
      <c r="O63" s="103"/>
      <c r="P63" s="103"/>
      <c r="Q63" s="103"/>
      <c r="R63" s="103">
        <v>1</v>
      </c>
      <c r="S63" s="103">
        <v>1</v>
      </c>
      <c r="T63" s="103"/>
      <c r="U63" s="103"/>
      <c r="V63" s="97">
        <f t="shared" si="2"/>
        <v>1</v>
      </c>
      <c r="W63" s="97">
        <f t="shared" si="3"/>
        <v>1</v>
      </c>
      <c r="X63" s="97">
        <f t="shared" si="4"/>
        <v>0</v>
      </c>
      <c r="Y63" s="97">
        <f t="shared" si="5"/>
        <v>0</v>
      </c>
      <c r="Z63" s="96"/>
    </row>
    <row r="64" spans="1:26" ht="21" customHeight="1">
      <c r="A64" s="188"/>
      <c r="B64" s="186"/>
      <c r="C64" s="187"/>
      <c r="D64" s="106" t="s">
        <v>343</v>
      </c>
      <c r="E64" s="107" t="s">
        <v>22</v>
      </c>
      <c r="F64" s="103">
        <v>11</v>
      </c>
      <c r="G64" s="103">
        <v>12</v>
      </c>
      <c r="H64" s="103"/>
      <c r="I64" s="103">
        <v>14</v>
      </c>
      <c r="J64" s="103">
        <v>11</v>
      </c>
      <c r="K64" s="103">
        <v>11</v>
      </c>
      <c r="L64" s="103"/>
      <c r="M64" s="103">
        <v>13</v>
      </c>
      <c r="N64" s="103"/>
      <c r="O64" s="103"/>
      <c r="P64" s="103"/>
      <c r="Q64" s="103"/>
      <c r="R64" s="103">
        <v>3</v>
      </c>
      <c r="S64" s="103"/>
      <c r="T64" s="103"/>
      <c r="U64" s="103"/>
      <c r="V64" s="97">
        <f t="shared" si="2"/>
        <v>3</v>
      </c>
      <c r="W64" s="97">
        <f t="shared" si="3"/>
        <v>0</v>
      </c>
      <c r="X64" s="97">
        <f t="shared" si="4"/>
        <v>0</v>
      </c>
      <c r="Y64" s="97">
        <f t="shared" si="5"/>
        <v>0</v>
      </c>
      <c r="Z64" s="96"/>
    </row>
    <row r="65" spans="1:26" ht="21" customHeight="1">
      <c r="A65" s="188">
        <v>14</v>
      </c>
      <c r="B65" s="186">
        <v>3</v>
      </c>
      <c r="C65" s="187" t="s">
        <v>10</v>
      </c>
      <c r="D65" s="108" t="s">
        <v>21</v>
      </c>
      <c r="E65" s="109" t="s">
        <v>45</v>
      </c>
      <c r="F65" s="103">
        <v>11</v>
      </c>
      <c r="G65" s="103">
        <v>9</v>
      </c>
      <c r="H65" s="103"/>
      <c r="I65" s="103">
        <v>12</v>
      </c>
      <c r="J65" s="103">
        <v>10</v>
      </c>
      <c r="K65" s="103">
        <v>8</v>
      </c>
      <c r="L65" s="103"/>
      <c r="M65" s="103">
        <v>12</v>
      </c>
      <c r="N65" s="103"/>
      <c r="O65" s="103"/>
      <c r="P65" s="103"/>
      <c r="Q65" s="103"/>
      <c r="R65" s="103">
        <v>4</v>
      </c>
      <c r="S65" s="103">
        <v>4</v>
      </c>
      <c r="T65" s="103"/>
      <c r="U65" s="103"/>
      <c r="V65" s="97">
        <f t="shared" si="2"/>
        <v>4</v>
      </c>
      <c r="W65" s="97">
        <f t="shared" si="3"/>
        <v>4</v>
      </c>
      <c r="X65" s="97">
        <f t="shared" si="4"/>
        <v>0</v>
      </c>
      <c r="Y65" s="97">
        <f t="shared" si="5"/>
        <v>0</v>
      </c>
      <c r="Z65" s="96"/>
    </row>
    <row r="66" spans="1:26" ht="21" customHeight="1">
      <c r="A66" s="188"/>
      <c r="B66" s="186"/>
      <c r="C66" s="187"/>
      <c r="D66" s="106" t="s">
        <v>20</v>
      </c>
      <c r="E66" s="107" t="s">
        <v>45</v>
      </c>
      <c r="F66" s="103">
        <v>11</v>
      </c>
      <c r="G66" s="103">
        <v>9</v>
      </c>
      <c r="H66" s="103"/>
      <c r="I66" s="103">
        <v>12</v>
      </c>
      <c r="J66" s="103">
        <v>11</v>
      </c>
      <c r="K66" s="103">
        <v>9</v>
      </c>
      <c r="L66" s="103"/>
      <c r="M66" s="103">
        <v>11</v>
      </c>
      <c r="N66" s="103">
        <v>1</v>
      </c>
      <c r="O66" s="103"/>
      <c r="P66" s="103"/>
      <c r="Q66" s="103"/>
      <c r="R66" s="103">
        <v>2</v>
      </c>
      <c r="S66" s="103">
        <v>2</v>
      </c>
      <c r="T66" s="103"/>
      <c r="U66" s="103"/>
      <c r="V66" s="97">
        <f t="shared" si="2"/>
        <v>3</v>
      </c>
      <c r="W66" s="97">
        <f t="shared" si="3"/>
        <v>2</v>
      </c>
      <c r="X66" s="97">
        <f t="shared" si="4"/>
        <v>0</v>
      </c>
      <c r="Y66" s="97">
        <f t="shared" si="5"/>
        <v>0</v>
      </c>
      <c r="Z66" s="96"/>
    </row>
    <row r="67" spans="1:26" ht="21" customHeight="1">
      <c r="A67" s="188"/>
      <c r="B67" s="186"/>
      <c r="C67" s="187"/>
      <c r="D67" s="106" t="s">
        <v>13</v>
      </c>
      <c r="E67" s="107" t="s">
        <v>45</v>
      </c>
      <c r="F67" s="103">
        <v>11</v>
      </c>
      <c r="G67" s="103">
        <v>10</v>
      </c>
      <c r="H67" s="103"/>
      <c r="I67" s="103">
        <v>12</v>
      </c>
      <c r="J67" s="103">
        <v>11</v>
      </c>
      <c r="K67" s="103">
        <v>9</v>
      </c>
      <c r="L67" s="103"/>
      <c r="M67" s="103">
        <v>11</v>
      </c>
      <c r="N67" s="103">
        <v>1</v>
      </c>
      <c r="O67" s="103"/>
      <c r="P67" s="103"/>
      <c r="Q67" s="103"/>
      <c r="R67" s="103">
        <v>4</v>
      </c>
      <c r="S67" s="103">
        <v>1</v>
      </c>
      <c r="T67" s="103"/>
      <c r="U67" s="103"/>
      <c r="V67" s="97">
        <f t="shared" si="2"/>
        <v>5</v>
      </c>
      <c r="W67" s="97">
        <f t="shared" si="3"/>
        <v>1</v>
      </c>
      <c r="X67" s="97">
        <f t="shared" si="4"/>
        <v>0</v>
      </c>
      <c r="Y67" s="97">
        <f t="shared" si="5"/>
        <v>0</v>
      </c>
      <c r="Z67" s="96"/>
    </row>
    <row r="68" spans="1:26" ht="21" customHeight="1">
      <c r="A68" s="188"/>
      <c r="B68" s="186"/>
      <c r="C68" s="187"/>
      <c r="D68" s="106" t="s">
        <v>10</v>
      </c>
      <c r="E68" s="107" t="s">
        <v>22</v>
      </c>
      <c r="F68" s="103">
        <v>11</v>
      </c>
      <c r="G68" s="103">
        <v>12</v>
      </c>
      <c r="H68" s="103"/>
      <c r="I68" s="103">
        <v>14</v>
      </c>
      <c r="J68" s="103">
        <v>11</v>
      </c>
      <c r="K68" s="103">
        <v>11</v>
      </c>
      <c r="L68" s="103"/>
      <c r="M68" s="103">
        <v>11</v>
      </c>
      <c r="N68" s="103"/>
      <c r="O68" s="103"/>
      <c r="P68" s="103"/>
      <c r="Q68" s="103"/>
      <c r="R68" s="103">
        <v>1</v>
      </c>
      <c r="S68" s="103">
        <v>3</v>
      </c>
      <c r="T68" s="103"/>
      <c r="U68" s="103"/>
      <c r="V68" s="97">
        <f t="shared" si="2"/>
        <v>1</v>
      </c>
      <c r="W68" s="97">
        <f t="shared" si="3"/>
        <v>3</v>
      </c>
      <c r="X68" s="97">
        <f t="shared" si="4"/>
        <v>0</v>
      </c>
      <c r="Y68" s="97">
        <f t="shared" si="5"/>
        <v>0</v>
      </c>
      <c r="Z68" s="96"/>
    </row>
    <row r="69" spans="1:26" s="101" customFormat="1" ht="21" customHeight="1">
      <c r="A69" s="201"/>
      <c r="B69" s="202"/>
      <c r="C69" s="199" t="s">
        <v>197</v>
      </c>
      <c r="D69" s="200"/>
      <c r="E69" s="98"/>
      <c r="F69" s="99">
        <f>SUM(F70:F95)</f>
        <v>285</v>
      </c>
      <c r="G69" s="99">
        <f t="shared" ref="G69:Y69" si="8">SUM(G70:G95)</f>
        <v>292</v>
      </c>
      <c r="H69" s="99">
        <f t="shared" si="8"/>
        <v>0</v>
      </c>
      <c r="I69" s="99">
        <f t="shared" si="8"/>
        <v>353</v>
      </c>
      <c r="J69" s="99">
        <f t="shared" si="8"/>
        <v>268</v>
      </c>
      <c r="K69" s="99">
        <f t="shared" si="8"/>
        <v>233</v>
      </c>
      <c r="L69" s="99">
        <f t="shared" si="8"/>
        <v>0</v>
      </c>
      <c r="M69" s="99">
        <f t="shared" si="8"/>
        <v>270</v>
      </c>
      <c r="N69" s="99">
        <f t="shared" si="8"/>
        <v>0</v>
      </c>
      <c r="O69" s="99">
        <f t="shared" si="8"/>
        <v>6</v>
      </c>
      <c r="P69" s="99">
        <f t="shared" si="8"/>
        <v>0</v>
      </c>
      <c r="Q69" s="99">
        <f t="shared" si="8"/>
        <v>0</v>
      </c>
      <c r="R69" s="99">
        <f t="shared" si="8"/>
        <v>72</v>
      </c>
      <c r="S69" s="99">
        <f t="shared" si="8"/>
        <v>37</v>
      </c>
      <c r="T69" s="99">
        <f t="shared" si="8"/>
        <v>0</v>
      </c>
      <c r="U69" s="99">
        <f t="shared" si="8"/>
        <v>0</v>
      </c>
      <c r="V69" s="99">
        <f t="shared" si="8"/>
        <v>72</v>
      </c>
      <c r="W69" s="99">
        <f t="shared" si="8"/>
        <v>43</v>
      </c>
      <c r="X69" s="99">
        <f t="shared" si="8"/>
        <v>0</v>
      </c>
      <c r="Y69" s="99">
        <f t="shared" si="8"/>
        <v>0</v>
      </c>
      <c r="Z69" s="100"/>
    </row>
    <row r="70" spans="1:26" ht="21" customHeight="1">
      <c r="A70" s="188">
        <v>15</v>
      </c>
      <c r="B70" s="186">
        <v>1</v>
      </c>
      <c r="C70" s="187" t="s">
        <v>116</v>
      </c>
      <c r="D70" s="110" t="s">
        <v>121</v>
      </c>
      <c r="E70" s="111" t="s">
        <v>45</v>
      </c>
      <c r="F70" s="103">
        <v>11</v>
      </c>
      <c r="G70" s="103">
        <v>9</v>
      </c>
      <c r="H70" s="103"/>
      <c r="I70" s="103">
        <v>13</v>
      </c>
      <c r="J70" s="103">
        <v>10</v>
      </c>
      <c r="K70" s="103">
        <v>5</v>
      </c>
      <c r="L70" s="103"/>
      <c r="M70" s="103">
        <v>9</v>
      </c>
      <c r="N70" s="103"/>
      <c r="O70" s="103">
        <v>1</v>
      </c>
      <c r="P70" s="103"/>
      <c r="Q70" s="103"/>
      <c r="R70" s="103"/>
      <c r="S70" s="103">
        <v>2</v>
      </c>
      <c r="T70" s="103"/>
      <c r="U70" s="103"/>
      <c r="V70" s="97">
        <f t="shared" ref="V70:V131" si="9">N70+R70</f>
        <v>0</v>
      </c>
      <c r="W70" s="97">
        <f t="shared" ref="W70:W131" si="10">O70+S70</f>
        <v>3</v>
      </c>
      <c r="X70" s="97">
        <f t="shared" ref="X70:X131" si="11">P70+T70</f>
        <v>0</v>
      </c>
      <c r="Y70" s="97">
        <f t="shared" ref="Y70:Y131" si="12">Q70+U70</f>
        <v>0</v>
      </c>
      <c r="Z70" s="96"/>
    </row>
    <row r="71" spans="1:26" ht="21" customHeight="1">
      <c r="A71" s="188"/>
      <c r="B71" s="186"/>
      <c r="C71" s="187"/>
      <c r="D71" s="110" t="s">
        <v>116</v>
      </c>
      <c r="E71" s="111" t="s">
        <v>22</v>
      </c>
      <c r="F71" s="103">
        <v>11</v>
      </c>
      <c r="G71" s="103">
        <v>11</v>
      </c>
      <c r="H71" s="103"/>
      <c r="I71" s="103">
        <v>14</v>
      </c>
      <c r="J71" s="103">
        <v>11</v>
      </c>
      <c r="K71" s="103">
        <v>7</v>
      </c>
      <c r="L71" s="103"/>
      <c r="M71" s="103">
        <v>12</v>
      </c>
      <c r="N71" s="103"/>
      <c r="O71" s="103"/>
      <c r="P71" s="103"/>
      <c r="Q71" s="103"/>
      <c r="R71" s="103">
        <v>4</v>
      </c>
      <c r="S71" s="103"/>
      <c r="T71" s="103"/>
      <c r="U71" s="103"/>
      <c r="V71" s="97">
        <f t="shared" si="9"/>
        <v>4</v>
      </c>
      <c r="W71" s="97">
        <f t="shared" si="10"/>
        <v>0</v>
      </c>
      <c r="X71" s="97">
        <f t="shared" si="11"/>
        <v>0</v>
      </c>
      <c r="Y71" s="97">
        <f t="shared" si="12"/>
        <v>0</v>
      </c>
      <c r="Z71" s="96"/>
    </row>
    <row r="72" spans="1:26" ht="21" customHeight="1">
      <c r="A72" s="188">
        <v>16</v>
      </c>
      <c r="B72" s="186">
        <v>2</v>
      </c>
      <c r="C72" s="187" t="s">
        <v>252</v>
      </c>
      <c r="D72" s="110" t="s">
        <v>124</v>
      </c>
      <c r="E72" s="111" t="s">
        <v>45</v>
      </c>
      <c r="F72" s="103">
        <v>11</v>
      </c>
      <c r="G72" s="103">
        <v>10</v>
      </c>
      <c r="H72" s="103"/>
      <c r="I72" s="103">
        <v>13</v>
      </c>
      <c r="J72" s="103">
        <v>11</v>
      </c>
      <c r="K72" s="103">
        <v>8</v>
      </c>
      <c r="L72" s="103"/>
      <c r="M72" s="103">
        <v>11</v>
      </c>
      <c r="N72" s="103"/>
      <c r="O72" s="103"/>
      <c r="P72" s="103"/>
      <c r="Q72" s="103"/>
      <c r="R72" s="103">
        <v>1</v>
      </c>
      <c r="S72" s="103">
        <v>1</v>
      </c>
      <c r="T72" s="103"/>
      <c r="U72" s="103"/>
      <c r="V72" s="97">
        <f t="shared" si="9"/>
        <v>1</v>
      </c>
      <c r="W72" s="97">
        <f t="shared" si="10"/>
        <v>1</v>
      </c>
      <c r="X72" s="97">
        <f t="shared" si="11"/>
        <v>0</v>
      </c>
      <c r="Y72" s="97">
        <f t="shared" si="12"/>
        <v>0</v>
      </c>
      <c r="Z72" s="96"/>
    </row>
    <row r="73" spans="1:26" ht="21" customHeight="1">
      <c r="A73" s="188"/>
      <c r="B73" s="186"/>
      <c r="C73" s="187"/>
      <c r="D73" s="110" t="s">
        <v>115</v>
      </c>
      <c r="E73" s="111" t="s">
        <v>22</v>
      </c>
      <c r="F73" s="103">
        <v>12</v>
      </c>
      <c r="G73" s="103">
        <v>11</v>
      </c>
      <c r="H73" s="103"/>
      <c r="I73" s="103">
        <v>14</v>
      </c>
      <c r="J73" s="103">
        <v>12</v>
      </c>
      <c r="K73" s="103">
        <v>8</v>
      </c>
      <c r="L73" s="103"/>
      <c r="M73" s="103">
        <v>10</v>
      </c>
      <c r="N73" s="103"/>
      <c r="O73" s="103"/>
      <c r="P73" s="103"/>
      <c r="Q73" s="103"/>
      <c r="R73" s="103">
        <v>5</v>
      </c>
      <c r="S73" s="103"/>
      <c r="T73" s="103"/>
      <c r="U73" s="103"/>
      <c r="V73" s="97">
        <f t="shared" si="9"/>
        <v>5</v>
      </c>
      <c r="W73" s="97">
        <f t="shared" si="10"/>
        <v>0</v>
      </c>
      <c r="X73" s="97">
        <f t="shared" si="11"/>
        <v>0</v>
      </c>
      <c r="Y73" s="97">
        <f t="shared" si="12"/>
        <v>0</v>
      </c>
      <c r="Z73" s="96"/>
    </row>
    <row r="74" spans="1:26" ht="16.5">
      <c r="A74" s="188"/>
      <c r="B74" s="186"/>
      <c r="C74" s="187"/>
      <c r="D74" s="110" t="s">
        <v>117</v>
      </c>
      <c r="E74" s="111" t="s">
        <v>22</v>
      </c>
      <c r="F74" s="103">
        <v>11</v>
      </c>
      <c r="G74" s="103">
        <v>12</v>
      </c>
      <c r="H74" s="103"/>
      <c r="I74" s="103">
        <v>14</v>
      </c>
      <c r="J74" s="103">
        <v>11</v>
      </c>
      <c r="K74" s="103">
        <v>9</v>
      </c>
      <c r="L74" s="103"/>
      <c r="M74" s="103">
        <v>8</v>
      </c>
      <c r="N74" s="103"/>
      <c r="O74" s="103"/>
      <c r="P74" s="103"/>
      <c r="Q74" s="103"/>
      <c r="R74" s="103">
        <v>3</v>
      </c>
      <c r="S74" s="103">
        <v>1</v>
      </c>
      <c r="T74" s="103"/>
      <c r="U74" s="103"/>
      <c r="V74" s="97">
        <f t="shared" si="9"/>
        <v>3</v>
      </c>
      <c r="W74" s="97">
        <f t="shared" si="10"/>
        <v>1</v>
      </c>
      <c r="X74" s="97">
        <f t="shared" si="11"/>
        <v>0</v>
      </c>
      <c r="Y74" s="97">
        <f t="shared" si="12"/>
        <v>0</v>
      </c>
      <c r="Z74" s="96"/>
    </row>
    <row r="75" spans="1:26" ht="16.5">
      <c r="A75" s="188"/>
      <c r="B75" s="186"/>
      <c r="C75" s="187"/>
      <c r="D75" s="110" t="s">
        <v>344</v>
      </c>
      <c r="E75" s="111" t="s">
        <v>45</v>
      </c>
      <c r="F75" s="103">
        <v>11</v>
      </c>
      <c r="G75" s="103">
        <v>12</v>
      </c>
      <c r="H75" s="103"/>
      <c r="I75" s="103">
        <v>14</v>
      </c>
      <c r="J75" s="103">
        <v>11</v>
      </c>
      <c r="K75" s="103">
        <v>9</v>
      </c>
      <c r="L75" s="103"/>
      <c r="M75" s="103">
        <v>12</v>
      </c>
      <c r="N75" s="103"/>
      <c r="O75" s="103"/>
      <c r="P75" s="103"/>
      <c r="Q75" s="103"/>
      <c r="R75" s="103">
        <v>1</v>
      </c>
      <c r="S75" s="103"/>
      <c r="T75" s="103"/>
      <c r="U75" s="103"/>
      <c r="V75" s="97">
        <f t="shared" si="9"/>
        <v>1</v>
      </c>
      <c r="W75" s="97">
        <f t="shared" si="10"/>
        <v>0</v>
      </c>
      <c r="X75" s="97">
        <f t="shared" si="11"/>
        <v>0</v>
      </c>
      <c r="Y75" s="97">
        <f t="shared" si="12"/>
        <v>0</v>
      </c>
      <c r="Z75" s="96"/>
    </row>
    <row r="76" spans="1:26" ht="21.75" customHeight="1">
      <c r="A76" s="188">
        <v>17</v>
      </c>
      <c r="B76" s="186">
        <v>3</v>
      </c>
      <c r="C76" s="187" t="s">
        <v>128</v>
      </c>
      <c r="D76" s="110" t="s">
        <v>128</v>
      </c>
      <c r="E76" s="111" t="s">
        <v>45</v>
      </c>
      <c r="F76" s="103">
        <v>11</v>
      </c>
      <c r="G76" s="103">
        <v>10</v>
      </c>
      <c r="H76" s="103"/>
      <c r="I76" s="103">
        <v>13</v>
      </c>
      <c r="J76" s="103">
        <v>11</v>
      </c>
      <c r="K76" s="103">
        <v>7</v>
      </c>
      <c r="L76" s="103"/>
      <c r="M76" s="103">
        <v>8</v>
      </c>
      <c r="N76" s="103"/>
      <c r="O76" s="103"/>
      <c r="P76" s="103"/>
      <c r="Q76" s="103"/>
      <c r="R76" s="103">
        <v>5</v>
      </c>
      <c r="S76" s="103">
        <v>3</v>
      </c>
      <c r="T76" s="103"/>
      <c r="U76" s="103"/>
      <c r="V76" s="97">
        <f t="shared" si="9"/>
        <v>5</v>
      </c>
      <c r="W76" s="97">
        <f t="shared" si="10"/>
        <v>3</v>
      </c>
      <c r="X76" s="97">
        <f t="shared" si="11"/>
        <v>0</v>
      </c>
      <c r="Y76" s="97">
        <f t="shared" si="12"/>
        <v>0</v>
      </c>
      <c r="Z76" s="96"/>
    </row>
    <row r="77" spans="1:26" ht="21.75" customHeight="1">
      <c r="A77" s="188"/>
      <c r="B77" s="186"/>
      <c r="C77" s="187"/>
      <c r="D77" s="110" t="s">
        <v>119</v>
      </c>
      <c r="E77" s="111" t="s">
        <v>22</v>
      </c>
      <c r="F77" s="103">
        <v>11</v>
      </c>
      <c r="G77" s="103">
        <v>12</v>
      </c>
      <c r="H77" s="103"/>
      <c r="I77" s="103">
        <v>14</v>
      </c>
      <c r="J77" s="103">
        <v>10</v>
      </c>
      <c r="K77" s="103">
        <v>8</v>
      </c>
      <c r="L77" s="103"/>
      <c r="M77" s="103">
        <v>10</v>
      </c>
      <c r="N77" s="103"/>
      <c r="O77" s="103"/>
      <c r="P77" s="103"/>
      <c r="Q77" s="103"/>
      <c r="R77" s="103">
        <v>2</v>
      </c>
      <c r="S77" s="103">
        <v>1</v>
      </c>
      <c r="T77" s="103"/>
      <c r="U77" s="103"/>
      <c r="V77" s="97">
        <f t="shared" si="9"/>
        <v>2</v>
      </c>
      <c r="W77" s="97">
        <f t="shared" si="10"/>
        <v>1</v>
      </c>
      <c r="X77" s="97">
        <f t="shared" si="11"/>
        <v>0</v>
      </c>
      <c r="Y77" s="97">
        <f t="shared" si="12"/>
        <v>0</v>
      </c>
      <c r="Z77" s="96"/>
    </row>
    <row r="78" spans="1:26" ht="21.75" customHeight="1">
      <c r="A78" s="188"/>
      <c r="B78" s="186"/>
      <c r="C78" s="187"/>
      <c r="D78" s="110" t="s">
        <v>345</v>
      </c>
      <c r="E78" s="111" t="s">
        <v>181</v>
      </c>
      <c r="F78" s="103">
        <v>11</v>
      </c>
      <c r="G78" s="103">
        <v>20</v>
      </c>
      <c r="H78" s="103"/>
      <c r="I78" s="103">
        <v>19</v>
      </c>
      <c r="J78" s="103">
        <v>8</v>
      </c>
      <c r="K78" s="103">
        <v>20</v>
      </c>
      <c r="L78" s="103"/>
      <c r="M78" s="103">
        <v>18</v>
      </c>
      <c r="N78" s="103"/>
      <c r="O78" s="103"/>
      <c r="P78" s="103"/>
      <c r="Q78" s="103"/>
      <c r="R78" s="103">
        <v>2</v>
      </c>
      <c r="S78" s="103">
        <v>5</v>
      </c>
      <c r="T78" s="103"/>
      <c r="U78" s="103"/>
      <c r="V78" s="97">
        <f t="shared" si="9"/>
        <v>2</v>
      </c>
      <c r="W78" s="97">
        <f t="shared" si="10"/>
        <v>5</v>
      </c>
      <c r="X78" s="97">
        <f t="shared" si="11"/>
        <v>0</v>
      </c>
      <c r="Y78" s="97">
        <f t="shared" si="12"/>
        <v>0</v>
      </c>
      <c r="Z78" s="96"/>
    </row>
    <row r="79" spans="1:26" ht="21.75" customHeight="1">
      <c r="A79" s="188"/>
      <c r="B79" s="186"/>
      <c r="C79" s="187"/>
      <c r="D79" s="110" t="s">
        <v>129</v>
      </c>
      <c r="E79" s="111" t="s">
        <v>45</v>
      </c>
      <c r="F79" s="103">
        <v>11</v>
      </c>
      <c r="G79" s="103">
        <v>10</v>
      </c>
      <c r="H79" s="103"/>
      <c r="I79" s="103">
        <v>13</v>
      </c>
      <c r="J79" s="103">
        <v>10</v>
      </c>
      <c r="K79" s="103">
        <v>8</v>
      </c>
      <c r="L79" s="103"/>
      <c r="M79" s="103">
        <v>11</v>
      </c>
      <c r="N79" s="103"/>
      <c r="O79" s="103">
        <v>1</v>
      </c>
      <c r="P79" s="103"/>
      <c r="Q79" s="103"/>
      <c r="R79" s="103">
        <v>5</v>
      </c>
      <c r="S79" s="103">
        <v>2</v>
      </c>
      <c r="T79" s="103"/>
      <c r="U79" s="103"/>
      <c r="V79" s="97">
        <f t="shared" si="9"/>
        <v>5</v>
      </c>
      <c r="W79" s="97">
        <f t="shared" si="10"/>
        <v>3</v>
      </c>
      <c r="X79" s="97">
        <f t="shared" si="11"/>
        <v>0</v>
      </c>
      <c r="Y79" s="97">
        <f t="shared" si="12"/>
        <v>0</v>
      </c>
      <c r="Z79" s="96"/>
    </row>
    <row r="80" spans="1:26" ht="25.5" customHeight="1">
      <c r="A80" s="188">
        <v>18</v>
      </c>
      <c r="B80" s="186">
        <v>4</v>
      </c>
      <c r="C80" s="187" t="s">
        <v>282</v>
      </c>
      <c r="D80" s="110" t="s">
        <v>120</v>
      </c>
      <c r="E80" s="111" t="s">
        <v>22</v>
      </c>
      <c r="F80" s="103">
        <v>11</v>
      </c>
      <c r="G80" s="103">
        <v>13</v>
      </c>
      <c r="H80" s="103"/>
      <c r="I80" s="103">
        <v>14</v>
      </c>
      <c r="J80" s="103">
        <v>11</v>
      </c>
      <c r="K80" s="103">
        <v>13</v>
      </c>
      <c r="L80" s="103"/>
      <c r="M80" s="103">
        <v>12</v>
      </c>
      <c r="N80" s="103"/>
      <c r="O80" s="103"/>
      <c r="P80" s="103"/>
      <c r="Q80" s="103"/>
      <c r="R80" s="103">
        <v>1</v>
      </c>
      <c r="S80" s="103">
        <v>3</v>
      </c>
      <c r="T80" s="103"/>
      <c r="U80" s="103"/>
      <c r="V80" s="97">
        <f t="shared" si="9"/>
        <v>1</v>
      </c>
      <c r="W80" s="97">
        <f t="shared" si="10"/>
        <v>3</v>
      </c>
      <c r="X80" s="97">
        <f t="shared" si="11"/>
        <v>0</v>
      </c>
      <c r="Y80" s="97">
        <f t="shared" si="12"/>
        <v>0</v>
      </c>
      <c r="Z80" s="96"/>
    </row>
    <row r="81" spans="1:26" ht="25.5" customHeight="1">
      <c r="A81" s="188"/>
      <c r="B81" s="186"/>
      <c r="C81" s="187"/>
      <c r="D81" s="110" t="s">
        <v>135</v>
      </c>
      <c r="E81" s="111" t="s">
        <v>181</v>
      </c>
      <c r="F81" s="103">
        <v>10</v>
      </c>
      <c r="G81" s="103">
        <v>10</v>
      </c>
      <c r="H81" s="103"/>
      <c r="I81" s="103">
        <v>11</v>
      </c>
      <c r="J81" s="103">
        <v>9</v>
      </c>
      <c r="K81" s="103">
        <v>7</v>
      </c>
      <c r="L81" s="103"/>
      <c r="M81" s="103">
        <v>9</v>
      </c>
      <c r="N81" s="103"/>
      <c r="O81" s="103"/>
      <c r="P81" s="103"/>
      <c r="Q81" s="103"/>
      <c r="R81" s="103">
        <v>1</v>
      </c>
      <c r="S81" s="103"/>
      <c r="T81" s="103"/>
      <c r="U81" s="103"/>
      <c r="V81" s="97">
        <f t="shared" si="9"/>
        <v>1</v>
      </c>
      <c r="W81" s="97">
        <f t="shared" si="10"/>
        <v>0</v>
      </c>
      <c r="X81" s="97">
        <f t="shared" si="11"/>
        <v>0</v>
      </c>
      <c r="Y81" s="97">
        <f t="shared" si="12"/>
        <v>0</v>
      </c>
      <c r="Z81" s="96"/>
    </row>
    <row r="82" spans="1:26" ht="25.5" customHeight="1">
      <c r="A82" s="188"/>
      <c r="B82" s="186"/>
      <c r="C82" s="187"/>
      <c r="D82" s="110" t="s">
        <v>127</v>
      </c>
      <c r="E82" s="111" t="s">
        <v>45</v>
      </c>
      <c r="F82" s="103">
        <v>11</v>
      </c>
      <c r="G82" s="103">
        <v>10</v>
      </c>
      <c r="H82" s="103"/>
      <c r="I82" s="103">
        <v>13</v>
      </c>
      <c r="J82" s="103">
        <v>10</v>
      </c>
      <c r="K82" s="103">
        <v>10</v>
      </c>
      <c r="L82" s="103"/>
      <c r="M82" s="103">
        <v>10</v>
      </c>
      <c r="N82" s="103"/>
      <c r="O82" s="103"/>
      <c r="P82" s="103"/>
      <c r="Q82" s="103"/>
      <c r="R82" s="103">
        <v>2</v>
      </c>
      <c r="S82" s="103">
        <v>3</v>
      </c>
      <c r="T82" s="103"/>
      <c r="U82" s="103"/>
      <c r="V82" s="97">
        <f t="shared" si="9"/>
        <v>2</v>
      </c>
      <c r="W82" s="97">
        <f t="shared" si="10"/>
        <v>3</v>
      </c>
      <c r="X82" s="97">
        <f t="shared" si="11"/>
        <v>0</v>
      </c>
      <c r="Y82" s="97">
        <f t="shared" si="12"/>
        <v>0</v>
      </c>
      <c r="Z82" s="96"/>
    </row>
    <row r="83" spans="1:26" ht="25.5" customHeight="1">
      <c r="A83" s="188"/>
      <c r="B83" s="186"/>
      <c r="C83" s="187"/>
      <c r="D83" s="110" t="s">
        <v>132</v>
      </c>
      <c r="E83" s="111" t="s">
        <v>181</v>
      </c>
      <c r="F83" s="103">
        <v>10</v>
      </c>
      <c r="G83" s="103">
        <v>10</v>
      </c>
      <c r="H83" s="103"/>
      <c r="I83" s="103">
        <v>11</v>
      </c>
      <c r="J83" s="103">
        <v>10</v>
      </c>
      <c r="K83" s="103">
        <v>7</v>
      </c>
      <c r="L83" s="103"/>
      <c r="M83" s="103">
        <v>9</v>
      </c>
      <c r="N83" s="103"/>
      <c r="O83" s="103"/>
      <c r="P83" s="103"/>
      <c r="Q83" s="103"/>
      <c r="R83" s="103">
        <v>5</v>
      </c>
      <c r="S83" s="103">
        <v>1</v>
      </c>
      <c r="T83" s="103"/>
      <c r="U83" s="103"/>
      <c r="V83" s="97">
        <f t="shared" si="9"/>
        <v>5</v>
      </c>
      <c r="W83" s="97">
        <f t="shared" si="10"/>
        <v>1</v>
      </c>
      <c r="X83" s="97">
        <f t="shared" si="11"/>
        <v>0</v>
      </c>
      <c r="Y83" s="97">
        <f t="shared" si="12"/>
        <v>0</v>
      </c>
      <c r="Z83" s="96"/>
    </row>
    <row r="84" spans="1:26" ht="27.75" customHeight="1">
      <c r="A84" s="188">
        <v>19</v>
      </c>
      <c r="B84" s="186">
        <v>5</v>
      </c>
      <c r="C84" s="187" t="s">
        <v>284</v>
      </c>
      <c r="D84" s="110" t="s">
        <v>134</v>
      </c>
      <c r="E84" s="111" t="s">
        <v>181</v>
      </c>
      <c r="F84" s="103">
        <v>10</v>
      </c>
      <c r="G84" s="103">
        <v>10</v>
      </c>
      <c r="H84" s="103"/>
      <c r="I84" s="103">
        <v>11</v>
      </c>
      <c r="J84" s="103">
        <v>10</v>
      </c>
      <c r="K84" s="103">
        <v>8</v>
      </c>
      <c r="L84" s="103"/>
      <c r="M84" s="103">
        <v>9</v>
      </c>
      <c r="N84" s="103"/>
      <c r="O84" s="103"/>
      <c r="P84" s="103"/>
      <c r="Q84" s="103"/>
      <c r="R84" s="103">
        <v>1</v>
      </c>
      <c r="S84" s="103">
        <v>1</v>
      </c>
      <c r="T84" s="103"/>
      <c r="U84" s="103"/>
      <c r="V84" s="97">
        <f t="shared" si="9"/>
        <v>1</v>
      </c>
      <c r="W84" s="97">
        <f t="shared" si="10"/>
        <v>1</v>
      </c>
      <c r="X84" s="97">
        <f t="shared" si="11"/>
        <v>0</v>
      </c>
      <c r="Y84" s="97">
        <f t="shared" si="12"/>
        <v>0</v>
      </c>
      <c r="Z84" s="96"/>
    </row>
    <row r="85" spans="1:26" ht="27" customHeight="1">
      <c r="A85" s="188"/>
      <c r="B85" s="186"/>
      <c r="C85" s="187"/>
      <c r="D85" s="110" t="s">
        <v>125</v>
      </c>
      <c r="E85" s="111" t="s">
        <v>45</v>
      </c>
      <c r="F85" s="103">
        <v>11</v>
      </c>
      <c r="G85" s="103">
        <v>10</v>
      </c>
      <c r="H85" s="103"/>
      <c r="I85" s="103">
        <v>13</v>
      </c>
      <c r="J85" s="103">
        <v>11</v>
      </c>
      <c r="K85" s="103">
        <v>8</v>
      </c>
      <c r="L85" s="103"/>
      <c r="M85" s="103">
        <v>6</v>
      </c>
      <c r="N85" s="103"/>
      <c r="O85" s="103"/>
      <c r="P85" s="103"/>
      <c r="Q85" s="103"/>
      <c r="R85" s="103">
        <v>1</v>
      </c>
      <c r="S85" s="103"/>
      <c r="T85" s="103"/>
      <c r="U85" s="103"/>
      <c r="V85" s="97">
        <f t="shared" si="9"/>
        <v>1</v>
      </c>
      <c r="W85" s="97">
        <f t="shared" si="10"/>
        <v>0</v>
      </c>
      <c r="X85" s="97">
        <f t="shared" si="11"/>
        <v>0</v>
      </c>
      <c r="Y85" s="97">
        <f t="shared" si="12"/>
        <v>0</v>
      </c>
      <c r="Z85" s="96"/>
    </row>
    <row r="86" spans="1:26" ht="22.5" customHeight="1">
      <c r="A86" s="188"/>
      <c r="B86" s="186"/>
      <c r="C86" s="187"/>
      <c r="D86" s="110" t="s">
        <v>123</v>
      </c>
      <c r="E86" s="111" t="s">
        <v>45</v>
      </c>
      <c r="F86" s="103">
        <v>11</v>
      </c>
      <c r="G86" s="103">
        <v>10</v>
      </c>
      <c r="H86" s="103"/>
      <c r="I86" s="103">
        <v>13</v>
      </c>
      <c r="J86" s="103">
        <v>10</v>
      </c>
      <c r="K86" s="103">
        <v>9</v>
      </c>
      <c r="L86" s="103"/>
      <c r="M86" s="103">
        <v>9</v>
      </c>
      <c r="N86" s="103"/>
      <c r="O86" s="103">
        <v>1</v>
      </c>
      <c r="P86" s="103"/>
      <c r="Q86" s="103"/>
      <c r="R86" s="103">
        <v>2</v>
      </c>
      <c r="S86" s="103">
        <v>1</v>
      </c>
      <c r="T86" s="103"/>
      <c r="U86" s="103"/>
      <c r="V86" s="97">
        <f t="shared" si="9"/>
        <v>2</v>
      </c>
      <c r="W86" s="97">
        <f t="shared" si="10"/>
        <v>2</v>
      </c>
      <c r="X86" s="97">
        <f t="shared" si="11"/>
        <v>0</v>
      </c>
      <c r="Y86" s="97">
        <f t="shared" si="12"/>
        <v>0</v>
      </c>
      <c r="Z86" s="96"/>
    </row>
    <row r="87" spans="1:26" ht="21.75" customHeight="1">
      <c r="A87" s="188"/>
      <c r="B87" s="186"/>
      <c r="C87" s="187"/>
      <c r="D87" s="110" t="s">
        <v>136</v>
      </c>
      <c r="E87" s="111" t="s">
        <v>181</v>
      </c>
      <c r="F87" s="103">
        <v>10</v>
      </c>
      <c r="G87" s="103">
        <v>10</v>
      </c>
      <c r="H87" s="103"/>
      <c r="I87" s="103">
        <v>11</v>
      </c>
      <c r="J87" s="103">
        <v>10</v>
      </c>
      <c r="K87" s="103">
        <v>7</v>
      </c>
      <c r="L87" s="103"/>
      <c r="M87" s="103">
        <v>9</v>
      </c>
      <c r="N87" s="103"/>
      <c r="O87" s="103"/>
      <c r="P87" s="103"/>
      <c r="Q87" s="103"/>
      <c r="R87" s="103">
        <v>1</v>
      </c>
      <c r="S87" s="103">
        <v>1</v>
      </c>
      <c r="T87" s="103"/>
      <c r="U87" s="103"/>
      <c r="V87" s="97">
        <f t="shared" si="9"/>
        <v>1</v>
      </c>
      <c r="W87" s="97">
        <f t="shared" si="10"/>
        <v>1</v>
      </c>
      <c r="X87" s="97">
        <f t="shared" si="11"/>
        <v>0</v>
      </c>
      <c r="Y87" s="97">
        <f t="shared" si="12"/>
        <v>0</v>
      </c>
      <c r="Z87" s="96"/>
    </row>
    <row r="88" spans="1:26" ht="27" customHeight="1">
      <c r="A88" s="188"/>
      <c r="B88" s="186"/>
      <c r="C88" s="187"/>
      <c r="D88" s="110" t="s">
        <v>113</v>
      </c>
      <c r="E88" s="111" t="s">
        <v>22</v>
      </c>
      <c r="F88" s="103">
        <v>12</v>
      </c>
      <c r="G88" s="103">
        <v>12</v>
      </c>
      <c r="H88" s="103"/>
      <c r="I88" s="103">
        <v>14</v>
      </c>
      <c r="J88" s="103">
        <v>12</v>
      </c>
      <c r="K88" s="103">
        <v>10</v>
      </c>
      <c r="L88" s="103"/>
      <c r="M88" s="103">
        <v>11</v>
      </c>
      <c r="N88" s="103"/>
      <c r="O88" s="103">
        <v>2</v>
      </c>
      <c r="P88" s="103"/>
      <c r="Q88" s="103"/>
      <c r="R88" s="103">
        <v>6</v>
      </c>
      <c r="S88" s="103">
        <v>3</v>
      </c>
      <c r="T88" s="103"/>
      <c r="U88" s="103"/>
      <c r="V88" s="97">
        <f t="shared" si="9"/>
        <v>6</v>
      </c>
      <c r="W88" s="97">
        <f t="shared" si="10"/>
        <v>5</v>
      </c>
      <c r="X88" s="97">
        <f t="shared" si="11"/>
        <v>0</v>
      </c>
      <c r="Y88" s="97">
        <f t="shared" si="12"/>
        <v>0</v>
      </c>
      <c r="Z88" s="96"/>
    </row>
    <row r="89" spans="1:26" ht="21.75" customHeight="1">
      <c r="A89" s="188">
        <v>20</v>
      </c>
      <c r="B89" s="186">
        <v>6</v>
      </c>
      <c r="C89" s="187" t="s">
        <v>253</v>
      </c>
      <c r="D89" s="110" t="s">
        <v>118</v>
      </c>
      <c r="E89" s="111" t="s">
        <v>22</v>
      </c>
      <c r="F89" s="103">
        <v>11</v>
      </c>
      <c r="G89" s="103">
        <v>12</v>
      </c>
      <c r="H89" s="103"/>
      <c r="I89" s="103">
        <v>14</v>
      </c>
      <c r="J89" s="103">
        <v>10</v>
      </c>
      <c r="K89" s="103">
        <v>9</v>
      </c>
      <c r="L89" s="103"/>
      <c r="M89" s="103">
        <v>9</v>
      </c>
      <c r="N89" s="103"/>
      <c r="O89" s="103"/>
      <c r="P89" s="103"/>
      <c r="Q89" s="103"/>
      <c r="R89" s="103">
        <v>2</v>
      </c>
      <c r="S89" s="103">
        <v>1</v>
      </c>
      <c r="T89" s="103"/>
      <c r="U89" s="103"/>
      <c r="V89" s="97">
        <f t="shared" si="9"/>
        <v>2</v>
      </c>
      <c r="W89" s="97">
        <f t="shared" si="10"/>
        <v>1</v>
      </c>
      <c r="X89" s="97">
        <f t="shared" si="11"/>
        <v>0</v>
      </c>
      <c r="Y89" s="97">
        <f t="shared" si="12"/>
        <v>0</v>
      </c>
      <c r="Z89" s="96"/>
    </row>
    <row r="90" spans="1:26" ht="21.75" customHeight="1">
      <c r="A90" s="188"/>
      <c r="B90" s="186"/>
      <c r="C90" s="187"/>
      <c r="D90" s="110" t="s">
        <v>130</v>
      </c>
      <c r="E90" s="111" t="s">
        <v>45</v>
      </c>
      <c r="F90" s="103">
        <v>11</v>
      </c>
      <c r="G90" s="103">
        <v>10</v>
      </c>
      <c r="H90" s="103"/>
      <c r="I90" s="103">
        <v>13</v>
      </c>
      <c r="J90" s="103">
        <v>10</v>
      </c>
      <c r="K90" s="103">
        <v>9</v>
      </c>
      <c r="L90" s="103"/>
      <c r="M90" s="103">
        <v>9</v>
      </c>
      <c r="N90" s="103"/>
      <c r="O90" s="103"/>
      <c r="P90" s="103"/>
      <c r="Q90" s="103"/>
      <c r="R90" s="103">
        <v>3</v>
      </c>
      <c r="S90" s="103">
        <v>2</v>
      </c>
      <c r="T90" s="103"/>
      <c r="U90" s="103"/>
      <c r="V90" s="97">
        <f t="shared" si="9"/>
        <v>3</v>
      </c>
      <c r="W90" s="97">
        <f t="shared" si="10"/>
        <v>2</v>
      </c>
      <c r="X90" s="97">
        <f t="shared" si="11"/>
        <v>0</v>
      </c>
      <c r="Y90" s="97">
        <f t="shared" si="12"/>
        <v>0</v>
      </c>
      <c r="Z90" s="96"/>
    </row>
    <row r="91" spans="1:26" ht="21.75" customHeight="1">
      <c r="A91" s="188"/>
      <c r="B91" s="186"/>
      <c r="C91" s="187"/>
      <c r="D91" s="110" t="s">
        <v>131</v>
      </c>
      <c r="E91" s="111" t="s">
        <v>45</v>
      </c>
      <c r="F91" s="103">
        <v>11</v>
      </c>
      <c r="G91" s="103">
        <v>10</v>
      </c>
      <c r="H91" s="103"/>
      <c r="I91" s="103">
        <v>13</v>
      </c>
      <c r="J91" s="103">
        <v>10</v>
      </c>
      <c r="K91" s="103">
        <v>8</v>
      </c>
      <c r="L91" s="103"/>
      <c r="M91" s="103">
        <v>9</v>
      </c>
      <c r="N91" s="103"/>
      <c r="O91" s="103">
        <v>1</v>
      </c>
      <c r="P91" s="103"/>
      <c r="Q91" s="103"/>
      <c r="R91" s="103">
        <v>3</v>
      </c>
      <c r="S91" s="103">
        <v>3</v>
      </c>
      <c r="T91" s="103"/>
      <c r="U91" s="103"/>
      <c r="V91" s="97">
        <f t="shared" si="9"/>
        <v>3</v>
      </c>
      <c r="W91" s="97">
        <f t="shared" si="10"/>
        <v>4</v>
      </c>
      <c r="X91" s="97">
        <f t="shared" si="11"/>
        <v>0</v>
      </c>
      <c r="Y91" s="97">
        <f t="shared" si="12"/>
        <v>0</v>
      </c>
      <c r="Z91" s="96"/>
    </row>
    <row r="92" spans="1:26" ht="21.75" customHeight="1">
      <c r="A92" s="188"/>
      <c r="B92" s="186"/>
      <c r="C92" s="187"/>
      <c r="D92" s="110" t="s">
        <v>122</v>
      </c>
      <c r="E92" s="111" t="s">
        <v>45</v>
      </c>
      <c r="F92" s="103">
        <v>11</v>
      </c>
      <c r="G92" s="103">
        <v>10</v>
      </c>
      <c r="H92" s="103"/>
      <c r="I92" s="103">
        <v>13</v>
      </c>
      <c r="J92" s="103">
        <v>10</v>
      </c>
      <c r="K92" s="103">
        <v>7</v>
      </c>
      <c r="L92" s="103"/>
      <c r="M92" s="103">
        <v>10</v>
      </c>
      <c r="N92" s="103"/>
      <c r="O92" s="103"/>
      <c r="P92" s="103"/>
      <c r="Q92" s="103"/>
      <c r="R92" s="103">
        <v>5</v>
      </c>
      <c r="S92" s="103"/>
      <c r="T92" s="103"/>
      <c r="U92" s="103"/>
      <c r="V92" s="97">
        <f t="shared" si="9"/>
        <v>5</v>
      </c>
      <c r="W92" s="97">
        <f t="shared" si="10"/>
        <v>0</v>
      </c>
      <c r="X92" s="97">
        <f t="shared" si="11"/>
        <v>0</v>
      </c>
      <c r="Y92" s="97">
        <f t="shared" si="12"/>
        <v>0</v>
      </c>
      <c r="Z92" s="96"/>
    </row>
    <row r="93" spans="1:26" ht="21.75" customHeight="1">
      <c r="A93" s="188">
        <v>21</v>
      </c>
      <c r="B93" s="186">
        <v>7</v>
      </c>
      <c r="C93" s="187" t="s">
        <v>254</v>
      </c>
      <c r="D93" s="110" t="s">
        <v>126</v>
      </c>
      <c r="E93" s="111" t="s">
        <v>45</v>
      </c>
      <c r="F93" s="103">
        <v>11</v>
      </c>
      <c r="G93" s="103">
        <v>10</v>
      </c>
      <c r="H93" s="103"/>
      <c r="I93" s="103">
        <v>13</v>
      </c>
      <c r="J93" s="103">
        <v>9</v>
      </c>
      <c r="K93" s="103">
        <v>8</v>
      </c>
      <c r="L93" s="103"/>
      <c r="M93" s="103">
        <v>9</v>
      </c>
      <c r="N93" s="103"/>
      <c r="O93" s="103"/>
      <c r="P93" s="103"/>
      <c r="Q93" s="103"/>
      <c r="R93" s="103">
        <v>5</v>
      </c>
      <c r="S93" s="103"/>
      <c r="T93" s="103"/>
      <c r="U93" s="103"/>
      <c r="V93" s="97">
        <f t="shared" si="9"/>
        <v>5</v>
      </c>
      <c r="W93" s="97">
        <f t="shared" si="10"/>
        <v>0</v>
      </c>
      <c r="X93" s="97">
        <f t="shared" si="11"/>
        <v>0</v>
      </c>
      <c r="Y93" s="97">
        <f t="shared" si="12"/>
        <v>0</v>
      </c>
      <c r="Z93" s="96"/>
    </row>
    <row r="94" spans="1:26" ht="21.75" customHeight="1">
      <c r="A94" s="188"/>
      <c r="B94" s="186"/>
      <c r="C94" s="187"/>
      <c r="D94" s="110" t="s">
        <v>346</v>
      </c>
      <c r="E94" s="111" t="s">
        <v>181</v>
      </c>
      <c r="F94" s="103">
        <v>12</v>
      </c>
      <c r="G94" s="103">
        <v>16</v>
      </c>
      <c r="H94" s="103"/>
      <c r="I94" s="103">
        <v>21</v>
      </c>
      <c r="J94" s="103">
        <v>10</v>
      </c>
      <c r="K94" s="103">
        <v>15</v>
      </c>
      <c r="L94" s="103"/>
      <c r="M94" s="103">
        <v>21</v>
      </c>
      <c r="N94" s="103"/>
      <c r="O94" s="103"/>
      <c r="P94" s="103"/>
      <c r="Q94" s="103"/>
      <c r="R94" s="103">
        <v>1</v>
      </c>
      <c r="S94" s="103">
        <v>2</v>
      </c>
      <c r="T94" s="103"/>
      <c r="U94" s="103"/>
      <c r="V94" s="97">
        <f t="shared" si="9"/>
        <v>1</v>
      </c>
      <c r="W94" s="97">
        <f t="shared" si="10"/>
        <v>2</v>
      </c>
      <c r="X94" s="97">
        <f t="shared" si="11"/>
        <v>0</v>
      </c>
      <c r="Y94" s="97">
        <f t="shared" si="12"/>
        <v>0</v>
      </c>
      <c r="Z94" s="96"/>
    </row>
    <row r="95" spans="1:26" ht="21.75" customHeight="1">
      <c r="A95" s="188"/>
      <c r="B95" s="186"/>
      <c r="C95" s="187"/>
      <c r="D95" s="9" t="s">
        <v>347</v>
      </c>
      <c r="E95" s="104" t="s">
        <v>22</v>
      </c>
      <c r="F95" s="103">
        <v>11</v>
      </c>
      <c r="G95" s="103">
        <v>12</v>
      </c>
      <c r="H95" s="103"/>
      <c r="I95" s="103">
        <v>14</v>
      </c>
      <c r="J95" s="103">
        <v>11</v>
      </c>
      <c r="K95" s="103">
        <v>9</v>
      </c>
      <c r="L95" s="103"/>
      <c r="M95" s="103">
        <v>10</v>
      </c>
      <c r="N95" s="103"/>
      <c r="O95" s="103"/>
      <c r="P95" s="103"/>
      <c r="Q95" s="103"/>
      <c r="R95" s="103">
        <v>5</v>
      </c>
      <c r="S95" s="103">
        <v>1</v>
      </c>
      <c r="T95" s="103"/>
      <c r="U95" s="103"/>
      <c r="V95" s="97">
        <f t="shared" si="9"/>
        <v>5</v>
      </c>
      <c r="W95" s="97">
        <f t="shared" si="10"/>
        <v>1</v>
      </c>
      <c r="X95" s="97">
        <f t="shared" si="11"/>
        <v>0</v>
      </c>
      <c r="Y95" s="97">
        <f t="shared" si="12"/>
        <v>0</v>
      </c>
      <c r="Z95" s="96"/>
    </row>
    <row r="96" spans="1:26" s="101" customFormat="1" ht="21.75" customHeight="1">
      <c r="A96" s="201"/>
      <c r="B96" s="202"/>
      <c r="C96" s="199" t="s">
        <v>195</v>
      </c>
      <c r="D96" s="200"/>
      <c r="E96" s="98"/>
      <c r="F96" s="8">
        <f>SUM(F97:F112)</f>
        <v>177</v>
      </c>
      <c r="G96" s="8">
        <f t="shared" ref="G96:Y96" si="13">SUM(G97:G112)</f>
        <v>169</v>
      </c>
      <c r="H96" s="8">
        <f t="shared" si="13"/>
        <v>0</v>
      </c>
      <c r="I96" s="8">
        <f t="shared" si="13"/>
        <v>204</v>
      </c>
      <c r="J96" s="8">
        <f t="shared" si="13"/>
        <v>166</v>
      </c>
      <c r="K96" s="8">
        <f t="shared" si="13"/>
        <v>160</v>
      </c>
      <c r="L96" s="8">
        <f t="shared" si="13"/>
        <v>0</v>
      </c>
      <c r="M96" s="8">
        <f t="shared" si="13"/>
        <v>190</v>
      </c>
      <c r="N96" s="8">
        <f t="shared" si="13"/>
        <v>7</v>
      </c>
      <c r="O96" s="8">
        <f t="shared" si="13"/>
        <v>5</v>
      </c>
      <c r="P96" s="8">
        <f t="shared" si="13"/>
        <v>0</v>
      </c>
      <c r="Q96" s="8">
        <f t="shared" si="13"/>
        <v>0</v>
      </c>
      <c r="R96" s="8">
        <f t="shared" si="13"/>
        <v>27</v>
      </c>
      <c r="S96" s="8">
        <f t="shared" si="13"/>
        <v>21</v>
      </c>
      <c r="T96" s="8">
        <f t="shared" si="13"/>
        <v>0</v>
      </c>
      <c r="U96" s="8">
        <f t="shared" si="13"/>
        <v>0</v>
      </c>
      <c r="V96" s="8">
        <f t="shared" si="13"/>
        <v>34</v>
      </c>
      <c r="W96" s="8">
        <f t="shared" si="13"/>
        <v>26</v>
      </c>
      <c r="X96" s="8">
        <f t="shared" si="13"/>
        <v>0</v>
      </c>
      <c r="Y96" s="8">
        <f t="shared" si="13"/>
        <v>0</v>
      </c>
      <c r="Z96" s="100"/>
    </row>
    <row r="97" spans="1:26" ht="21.75" customHeight="1">
      <c r="A97" s="188">
        <v>22</v>
      </c>
      <c r="B97" s="186">
        <v>1</v>
      </c>
      <c r="C97" s="203" t="s">
        <v>348</v>
      </c>
      <c r="D97" s="106" t="s">
        <v>110</v>
      </c>
      <c r="E97" s="107" t="s">
        <v>45</v>
      </c>
      <c r="F97" s="103">
        <v>18</v>
      </c>
      <c r="G97" s="103">
        <v>17</v>
      </c>
      <c r="H97" s="103"/>
      <c r="I97" s="103">
        <v>12</v>
      </c>
      <c r="J97" s="103">
        <v>13</v>
      </c>
      <c r="K97" s="103">
        <v>18</v>
      </c>
      <c r="L97" s="103"/>
      <c r="M97" s="103">
        <v>21</v>
      </c>
      <c r="N97" s="103">
        <v>2</v>
      </c>
      <c r="O97" s="103">
        <v>2</v>
      </c>
      <c r="P97" s="103"/>
      <c r="Q97" s="103"/>
      <c r="R97" s="103">
        <v>1</v>
      </c>
      <c r="S97" s="103">
        <v>3</v>
      </c>
      <c r="T97" s="103"/>
      <c r="U97" s="103"/>
      <c r="V97" s="97">
        <f t="shared" si="9"/>
        <v>3</v>
      </c>
      <c r="W97" s="97">
        <f t="shared" si="10"/>
        <v>5</v>
      </c>
      <c r="X97" s="97">
        <f t="shared" si="11"/>
        <v>0</v>
      </c>
      <c r="Y97" s="97">
        <f t="shared" si="12"/>
        <v>0</v>
      </c>
      <c r="Z97" s="96"/>
    </row>
    <row r="98" spans="1:26" ht="21.75" customHeight="1">
      <c r="A98" s="188"/>
      <c r="B98" s="186"/>
      <c r="C98" s="187"/>
      <c r="D98" s="108" t="s">
        <v>108</v>
      </c>
      <c r="E98" s="109" t="s">
        <v>22</v>
      </c>
      <c r="F98" s="103">
        <v>11</v>
      </c>
      <c r="G98" s="103">
        <v>12</v>
      </c>
      <c r="H98" s="103"/>
      <c r="I98" s="103">
        <v>14</v>
      </c>
      <c r="J98" s="103">
        <v>10</v>
      </c>
      <c r="K98" s="103">
        <v>13</v>
      </c>
      <c r="L98" s="103"/>
      <c r="M98" s="103">
        <v>16</v>
      </c>
      <c r="N98" s="103">
        <v>1</v>
      </c>
      <c r="O98" s="103">
        <v>1</v>
      </c>
      <c r="P98" s="103"/>
      <c r="Q98" s="103"/>
      <c r="R98" s="103">
        <v>4</v>
      </c>
      <c r="S98" s="103">
        <v>3</v>
      </c>
      <c r="T98" s="103"/>
      <c r="U98" s="103"/>
      <c r="V98" s="97">
        <f t="shared" si="9"/>
        <v>5</v>
      </c>
      <c r="W98" s="97">
        <f t="shared" si="10"/>
        <v>4</v>
      </c>
      <c r="X98" s="97">
        <f t="shared" si="11"/>
        <v>0</v>
      </c>
      <c r="Y98" s="97">
        <f t="shared" si="12"/>
        <v>0</v>
      </c>
      <c r="Z98" s="96"/>
    </row>
    <row r="99" spans="1:26" ht="21.75" customHeight="1">
      <c r="A99" s="188"/>
      <c r="B99" s="186"/>
      <c r="C99" s="187"/>
      <c r="D99" s="108" t="s">
        <v>111</v>
      </c>
      <c r="E99" s="109" t="s">
        <v>181</v>
      </c>
      <c r="F99" s="103">
        <v>10</v>
      </c>
      <c r="G99" s="103">
        <v>8</v>
      </c>
      <c r="H99" s="103"/>
      <c r="I99" s="103">
        <v>10</v>
      </c>
      <c r="J99" s="103">
        <v>10</v>
      </c>
      <c r="K99" s="103">
        <v>8</v>
      </c>
      <c r="L99" s="103"/>
      <c r="M99" s="103">
        <v>9</v>
      </c>
      <c r="N99" s="103"/>
      <c r="O99" s="103"/>
      <c r="P99" s="103"/>
      <c r="Q99" s="103"/>
      <c r="R99" s="103"/>
      <c r="S99" s="103">
        <v>2</v>
      </c>
      <c r="T99" s="103"/>
      <c r="U99" s="103"/>
      <c r="V99" s="97">
        <f t="shared" si="9"/>
        <v>0</v>
      </c>
      <c r="W99" s="97">
        <f t="shared" si="10"/>
        <v>2</v>
      </c>
      <c r="X99" s="97">
        <f t="shared" si="11"/>
        <v>0</v>
      </c>
      <c r="Y99" s="97">
        <f t="shared" si="12"/>
        <v>0</v>
      </c>
      <c r="Z99" s="96"/>
    </row>
    <row r="100" spans="1:26" ht="21.75" customHeight="1">
      <c r="A100" s="188">
        <v>23</v>
      </c>
      <c r="B100" s="186">
        <v>2</v>
      </c>
      <c r="C100" s="187" t="s">
        <v>235</v>
      </c>
      <c r="D100" s="108" t="s">
        <v>102</v>
      </c>
      <c r="E100" s="109" t="s">
        <v>22</v>
      </c>
      <c r="F100" s="103">
        <v>11</v>
      </c>
      <c r="G100" s="103">
        <v>11</v>
      </c>
      <c r="H100" s="103"/>
      <c r="I100" s="103">
        <v>14</v>
      </c>
      <c r="J100" s="103">
        <v>10</v>
      </c>
      <c r="K100" s="103">
        <v>9</v>
      </c>
      <c r="L100" s="103"/>
      <c r="M100" s="103">
        <v>12</v>
      </c>
      <c r="N100" s="103"/>
      <c r="O100" s="103"/>
      <c r="P100" s="103"/>
      <c r="Q100" s="103"/>
      <c r="R100" s="103">
        <v>2</v>
      </c>
      <c r="S100" s="103">
        <v>1</v>
      </c>
      <c r="T100" s="103"/>
      <c r="U100" s="103"/>
      <c r="V100" s="97">
        <f t="shared" si="9"/>
        <v>2</v>
      </c>
      <c r="W100" s="97">
        <f t="shared" si="10"/>
        <v>1</v>
      </c>
      <c r="X100" s="97">
        <f t="shared" si="11"/>
        <v>0</v>
      </c>
      <c r="Y100" s="97">
        <f t="shared" si="12"/>
        <v>0</v>
      </c>
      <c r="Z100" s="96"/>
    </row>
    <row r="101" spans="1:26" ht="21.75" customHeight="1">
      <c r="A101" s="188"/>
      <c r="B101" s="186"/>
      <c r="C101" s="187"/>
      <c r="D101" s="108" t="s">
        <v>101</v>
      </c>
      <c r="E101" s="109" t="s">
        <v>45</v>
      </c>
      <c r="F101" s="103">
        <v>10</v>
      </c>
      <c r="G101" s="103">
        <v>10</v>
      </c>
      <c r="H101" s="103"/>
      <c r="I101" s="103">
        <v>12</v>
      </c>
      <c r="J101" s="103">
        <v>9</v>
      </c>
      <c r="K101" s="103">
        <v>9</v>
      </c>
      <c r="L101" s="103"/>
      <c r="M101" s="103">
        <v>10</v>
      </c>
      <c r="N101" s="103"/>
      <c r="O101" s="103"/>
      <c r="P101" s="103"/>
      <c r="Q101" s="103"/>
      <c r="R101" s="103">
        <v>1</v>
      </c>
      <c r="S101" s="103">
        <v>2</v>
      </c>
      <c r="T101" s="103"/>
      <c r="U101" s="103"/>
      <c r="V101" s="97">
        <f t="shared" si="9"/>
        <v>1</v>
      </c>
      <c r="W101" s="97">
        <f t="shared" si="10"/>
        <v>2</v>
      </c>
      <c r="X101" s="97">
        <f t="shared" si="11"/>
        <v>0</v>
      </c>
      <c r="Y101" s="97">
        <f t="shared" si="12"/>
        <v>0</v>
      </c>
      <c r="Z101" s="96"/>
    </row>
    <row r="102" spans="1:26" ht="21.75" customHeight="1">
      <c r="A102" s="188"/>
      <c r="B102" s="186"/>
      <c r="C102" s="187"/>
      <c r="D102" s="108" t="s">
        <v>105</v>
      </c>
      <c r="E102" s="109" t="s">
        <v>181</v>
      </c>
      <c r="F102" s="103">
        <v>10</v>
      </c>
      <c r="G102" s="103">
        <v>8</v>
      </c>
      <c r="H102" s="103"/>
      <c r="I102" s="103">
        <v>10</v>
      </c>
      <c r="J102" s="103">
        <v>10</v>
      </c>
      <c r="K102" s="103">
        <v>8</v>
      </c>
      <c r="L102" s="103"/>
      <c r="M102" s="103">
        <v>9</v>
      </c>
      <c r="N102" s="103"/>
      <c r="O102" s="103"/>
      <c r="P102" s="103"/>
      <c r="Q102" s="103"/>
      <c r="R102" s="103">
        <v>4</v>
      </c>
      <c r="S102" s="103"/>
      <c r="T102" s="103"/>
      <c r="U102" s="103"/>
      <c r="V102" s="97">
        <f t="shared" si="9"/>
        <v>4</v>
      </c>
      <c r="W102" s="97">
        <f t="shared" si="10"/>
        <v>0</v>
      </c>
      <c r="X102" s="97">
        <f t="shared" si="11"/>
        <v>0</v>
      </c>
      <c r="Y102" s="97">
        <f t="shared" si="12"/>
        <v>0</v>
      </c>
      <c r="Z102" s="96"/>
    </row>
    <row r="103" spans="1:26" ht="24.75" customHeight="1">
      <c r="A103" s="188">
        <v>24</v>
      </c>
      <c r="B103" s="186">
        <v>3</v>
      </c>
      <c r="C103" s="187" t="s">
        <v>237</v>
      </c>
      <c r="D103" s="108" t="s">
        <v>109</v>
      </c>
      <c r="E103" s="109" t="s">
        <v>22</v>
      </c>
      <c r="F103" s="103">
        <v>11</v>
      </c>
      <c r="G103" s="103">
        <v>11</v>
      </c>
      <c r="H103" s="103"/>
      <c r="I103" s="103">
        <v>14</v>
      </c>
      <c r="J103" s="103">
        <v>11</v>
      </c>
      <c r="K103" s="103">
        <v>11</v>
      </c>
      <c r="L103" s="103"/>
      <c r="M103" s="103">
        <v>13</v>
      </c>
      <c r="N103" s="103"/>
      <c r="O103" s="103"/>
      <c r="P103" s="103"/>
      <c r="Q103" s="103"/>
      <c r="R103" s="103">
        <v>2</v>
      </c>
      <c r="S103" s="103">
        <v>2</v>
      </c>
      <c r="T103" s="103"/>
      <c r="U103" s="103"/>
      <c r="V103" s="97">
        <f t="shared" si="9"/>
        <v>2</v>
      </c>
      <c r="W103" s="97">
        <f t="shared" si="10"/>
        <v>2</v>
      </c>
      <c r="X103" s="97">
        <f t="shared" si="11"/>
        <v>0</v>
      </c>
      <c r="Y103" s="97">
        <f t="shared" si="12"/>
        <v>0</v>
      </c>
      <c r="Z103" s="96"/>
    </row>
    <row r="104" spans="1:26" ht="24.75" customHeight="1">
      <c r="A104" s="188"/>
      <c r="B104" s="186"/>
      <c r="C104" s="187"/>
      <c r="D104" s="108" t="s">
        <v>107</v>
      </c>
      <c r="E104" s="109" t="s">
        <v>45</v>
      </c>
      <c r="F104" s="103">
        <v>10</v>
      </c>
      <c r="G104" s="103">
        <v>10</v>
      </c>
      <c r="H104" s="103"/>
      <c r="I104" s="103">
        <v>12</v>
      </c>
      <c r="J104" s="103">
        <v>10</v>
      </c>
      <c r="K104" s="103">
        <v>9</v>
      </c>
      <c r="L104" s="103"/>
      <c r="M104" s="103">
        <v>12</v>
      </c>
      <c r="N104" s="103"/>
      <c r="O104" s="103"/>
      <c r="P104" s="103"/>
      <c r="Q104" s="103"/>
      <c r="R104" s="103">
        <v>2</v>
      </c>
      <c r="S104" s="103">
        <v>2</v>
      </c>
      <c r="T104" s="103"/>
      <c r="U104" s="103"/>
      <c r="V104" s="97">
        <f t="shared" si="9"/>
        <v>2</v>
      </c>
      <c r="W104" s="97">
        <f t="shared" si="10"/>
        <v>2</v>
      </c>
      <c r="X104" s="97">
        <f t="shared" si="11"/>
        <v>0</v>
      </c>
      <c r="Y104" s="97">
        <f t="shared" si="12"/>
        <v>0</v>
      </c>
      <c r="Z104" s="96"/>
    </row>
    <row r="105" spans="1:26" ht="24.75" customHeight="1">
      <c r="A105" s="188"/>
      <c r="B105" s="186"/>
      <c r="C105" s="187"/>
      <c r="D105" s="108" t="s">
        <v>106</v>
      </c>
      <c r="E105" s="109" t="s">
        <v>22</v>
      </c>
      <c r="F105" s="103">
        <v>11</v>
      </c>
      <c r="G105" s="103">
        <v>11</v>
      </c>
      <c r="H105" s="103"/>
      <c r="I105" s="103">
        <v>14</v>
      </c>
      <c r="J105" s="103">
        <v>11</v>
      </c>
      <c r="K105" s="103">
        <v>10</v>
      </c>
      <c r="L105" s="103"/>
      <c r="M105" s="103">
        <v>9</v>
      </c>
      <c r="N105" s="103">
        <v>1</v>
      </c>
      <c r="O105" s="103"/>
      <c r="P105" s="103"/>
      <c r="Q105" s="103"/>
      <c r="R105" s="103">
        <v>2</v>
      </c>
      <c r="S105" s="103">
        <v>3</v>
      </c>
      <c r="T105" s="103"/>
      <c r="U105" s="103"/>
      <c r="V105" s="97">
        <f t="shared" si="9"/>
        <v>3</v>
      </c>
      <c r="W105" s="97">
        <f t="shared" si="10"/>
        <v>3</v>
      </c>
      <c r="X105" s="97">
        <f t="shared" si="11"/>
        <v>0</v>
      </c>
      <c r="Y105" s="97">
        <f t="shared" si="12"/>
        <v>0</v>
      </c>
      <c r="Z105" s="96"/>
    </row>
    <row r="106" spans="1:26" ht="24.75" customHeight="1">
      <c r="A106" s="188">
        <v>25</v>
      </c>
      <c r="B106" s="186">
        <v>4</v>
      </c>
      <c r="C106" s="187" t="s">
        <v>349</v>
      </c>
      <c r="D106" s="108" t="s">
        <v>100</v>
      </c>
      <c r="E106" s="109" t="s">
        <v>22</v>
      </c>
      <c r="F106" s="103">
        <v>11</v>
      </c>
      <c r="G106" s="103">
        <v>11</v>
      </c>
      <c r="H106" s="103"/>
      <c r="I106" s="103">
        <v>14</v>
      </c>
      <c r="J106" s="103">
        <v>10</v>
      </c>
      <c r="K106" s="103">
        <v>10</v>
      </c>
      <c r="L106" s="103"/>
      <c r="M106" s="103">
        <v>11</v>
      </c>
      <c r="N106" s="103"/>
      <c r="O106" s="103"/>
      <c r="P106" s="103"/>
      <c r="Q106" s="103"/>
      <c r="R106" s="103">
        <v>3</v>
      </c>
      <c r="S106" s="103">
        <v>2</v>
      </c>
      <c r="T106" s="103"/>
      <c r="U106" s="103"/>
      <c r="V106" s="97">
        <f t="shared" si="9"/>
        <v>3</v>
      </c>
      <c r="W106" s="97">
        <f t="shared" si="10"/>
        <v>2</v>
      </c>
      <c r="X106" s="97">
        <f t="shared" si="11"/>
        <v>0</v>
      </c>
      <c r="Y106" s="97">
        <f t="shared" si="12"/>
        <v>0</v>
      </c>
      <c r="Z106" s="96"/>
    </row>
    <row r="107" spans="1:26" ht="24.75" customHeight="1">
      <c r="A107" s="188"/>
      <c r="B107" s="186"/>
      <c r="C107" s="187"/>
      <c r="D107" s="108" t="s">
        <v>103</v>
      </c>
      <c r="E107" s="109" t="s">
        <v>45</v>
      </c>
      <c r="F107" s="103">
        <v>10</v>
      </c>
      <c r="G107" s="103">
        <v>10</v>
      </c>
      <c r="H107" s="103"/>
      <c r="I107" s="103">
        <v>12</v>
      </c>
      <c r="J107" s="103">
        <v>10</v>
      </c>
      <c r="K107" s="103">
        <v>10</v>
      </c>
      <c r="L107" s="103"/>
      <c r="M107" s="103">
        <v>9</v>
      </c>
      <c r="N107" s="103"/>
      <c r="O107" s="103">
        <v>1</v>
      </c>
      <c r="P107" s="103"/>
      <c r="Q107" s="103"/>
      <c r="R107" s="103">
        <v>2</v>
      </c>
      <c r="S107" s="103"/>
      <c r="T107" s="103"/>
      <c r="U107" s="103"/>
      <c r="V107" s="97">
        <f t="shared" si="9"/>
        <v>2</v>
      </c>
      <c r="W107" s="97">
        <f t="shared" si="10"/>
        <v>1</v>
      </c>
      <c r="X107" s="97">
        <f t="shared" si="11"/>
        <v>0</v>
      </c>
      <c r="Y107" s="97">
        <f t="shared" si="12"/>
        <v>0</v>
      </c>
      <c r="Z107" s="96"/>
    </row>
    <row r="108" spans="1:26" ht="24.75" customHeight="1">
      <c r="A108" s="188"/>
      <c r="B108" s="186"/>
      <c r="C108" s="187"/>
      <c r="D108" s="108" t="s">
        <v>104</v>
      </c>
      <c r="E108" s="109" t="s">
        <v>45</v>
      </c>
      <c r="F108" s="103">
        <v>10</v>
      </c>
      <c r="G108" s="103">
        <v>10</v>
      </c>
      <c r="H108" s="103"/>
      <c r="I108" s="103">
        <v>12</v>
      </c>
      <c r="J108" s="103">
        <v>10</v>
      </c>
      <c r="K108" s="103">
        <v>9</v>
      </c>
      <c r="L108" s="103"/>
      <c r="M108" s="103">
        <v>11</v>
      </c>
      <c r="N108" s="103"/>
      <c r="O108" s="103"/>
      <c r="P108" s="103"/>
      <c r="Q108" s="103"/>
      <c r="R108" s="103"/>
      <c r="S108" s="103"/>
      <c r="T108" s="103"/>
      <c r="U108" s="103"/>
      <c r="V108" s="97">
        <f t="shared" si="9"/>
        <v>0</v>
      </c>
      <c r="W108" s="97">
        <f t="shared" si="10"/>
        <v>0</v>
      </c>
      <c r="X108" s="97">
        <f t="shared" si="11"/>
        <v>0</v>
      </c>
      <c r="Y108" s="97">
        <f t="shared" si="12"/>
        <v>0</v>
      </c>
      <c r="Z108" s="96"/>
    </row>
    <row r="109" spans="1:26" ht="21.75" customHeight="1">
      <c r="A109" s="188">
        <v>26</v>
      </c>
      <c r="B109" s="186">
        <v>5</v>
      </c>
      <c r="C109" s="187" t="s">
        <v>277</v>
      </c>
      <c r="D109" s="108" t="s">
        <v>98</v>
      </c>
      <c r="E109" s="109" t="s">
        <v>45</v>
      </c>
      <c r="F109" s="103">
        <v>11</v>
      </c>
      <c r="G109" s="103">
        <v>9</v>
      </c>
      <c r="H109" s="103"/>
      <c r="I109" s="103">
        <v>12</v>
      </c>
      <c r="J109" s="103">
        <v>9</v>
      </c>
      <c r="K109" s="103">
        <v>8</v>
      </c>
      <c r="L109" s="103"/>
      <c r="M109" s="103">
        <v>11</v>
      </c>
      <c r="N109" s="103">
        <v>1</v>
      </c>
      <c r="O109" s="103"/>
      <c r="P109" s="103"/>
      <c r="Q109" s="103"/>
      <c r="R109" s="103"/>
      <c r="S109" s="103"/>
      <c r="T109" s="103"/>
      <c r="U109" s="103"/>
      <c r="V109" s="97">
        <f t="shared" si="9"/>
        <v>1</v>
      </c>
      <c r="W109" s="97">
        <f t="shared" si="10"/>
        <v>0</v>
      </c>
      <c r="X109" s="97">
        <f t="shared" si="11"/>
        <v>0</v>
      </c>
      <c r="Y109" s="97">
        <f t="shared" si="12"/>
        <v>0</v>
      </c>
      <c r="Z109" s="96"/>
    </row>
    <row r="110" spans="1:26" ht="21.75" customHeight="1">
      <c r="A110" s="188"/>
      <c r="B110" s="186"/>
      <c r="C110" s="187"/>
      <c r="D110" s="108" t="s">
        <v>99</v>
      </c>
      <c r="E110" s="109" t="s">
        <v>22</v>
      </c>
      <c r="F110" s="103">
        <v>11</v>
      </c>
      <c r="G110" s="103">
        <v>11</v>
      </c>
      <c r="H110" s="103"/>
      <c r="I110" s="103">
        <v>14</v>
      </c>
      <c r="J110" s="103">
        <v>11</v>
      </c>
      <c r="K110" s="103">
        <v>11</v>
      </c>
      <c r="L110" s="103"/>
      <c r="M110" s="103">
        <v>14</v>
      </c>
      <c r="N110" s="103"/>
      <c r="O110" s="103">
        <v>1</v>
      </c>
      <c r="P110" s="103"/>
      <c r="Q110" s="103"/>
      <c r="R110" s="103"/>
      <c r="S110" s="103"/>
      <c r="T110" s="103"/>
      <c r="U110" s="103"/>
      <c r="V110" s="97">
        <f t="shared" si="9"/>
        <v>0</v>
      </c>
      <c r="W110" s="97">
        <f t="shared" si="10"/>
        <v>1</v>
      </c>
      <c r="X110" s="97">
        <f t="shared" si="11"/>
        <v>0</v>
      </c>
      <c r="Y110" s="97">
        <f t="shared" si="12"/>
        <v>0</v>
      </c>
      <c r="Z110" s="96"/>
    </row>
    <row r="111" spans="1:26" ht="21.75" customHeight="1">
      <c r="A111" s="188"/>
      <c r="B111" s="186"/>
      <c r="C111" s="187"/>
      <c r="D111" s="108" t="s">
        <v>97</v>
      </c>
      <c r="E111" s="109" t="s">
        <v>45</v>
      </c>
      <c r="F111" s="103">
        <v>11</v>
      </c>
      <c r="G111" s="103">
        <v>9</v>
      </c>
      <c r="H111" s="103"/>
      <c r="I111" s="103">
        <v>12</v>
      </c>
      <c r="J111" s="103">
        <v>11</v>
      </c>
      <c r="K111" s="103">
        <v>9</v>
      </c>
      <c r="L111" s="103"/>
      <c r="M111" s="103">
        <v>10</v>
      </c>
      <c r="N111" s="103">
        <v>1</v>
      </c>
      <c r="O111" s="103"/>
      <c r="P111" s="103"/>
      <c r="Q111" s="103"/>
      <c r="R111" s="103"/>
      <c r="S111" s="103"/>
      <c r="T111" s="103"/>
      <c r="U111" s="103"/>
      <c r="V111" s="97">
        <f t="shared" si="9"/>
        <v>1</v>
      </c>
      <c r="W111" s="97">
        <f t="shared" si="10"/>
        <v>0</v>
      </c>
      <c r="X111" s="97">
        <f t="shared" si="11"/>
        <v>0</v>
      </c>
      <c r="Y111" s="97">
        <f t="shared" si="12"/>
        <v>0</v>
      </c>
      <c r="Z111" s="96"/>
    </row>
    <row r="112" spans="1:26" ht="21.75" customHeight="1">
      <c r="A112" s="188"/>
      <c r="B112" s="186"/>
      <c r="C112" s="187"/>
      <c r="D112" s="108" t="s">
        <v>96</v>
      </c>
      <c r="E112" s="109" t="s">
        <v>22</v>
      </c>
      <c r="F112" s="103">
        <v>11</v>
      </c>
      <c r="G112" s="103">
        <v>11</v>
      </c>
      <c r="H112" s="103"/>
      <c r="I112" s="103">
        <v>16</v>
      </c>
      <c r="J112" s="103">
        <v>11</v>
      </c>
      <c r="K112" s="103">
        <v>8</v>
      </c>
      <c r="L112" s="103"/>
      <c r="M112" s="103">
        <v>13</v>
      </c>
      <c r="N112" s="103">
        <v>1</v>
      </c>
      <c r="O112" s="103"/>
      <c r="P112" s="103"/>
      <c r="Q112" s="103"/>
      <c r="R112" s="103">
        <v>4</v>
      </c>
      <c r="S112" s="103">
        <v>1</v>
      </c>
      <c r="T112" s="103"/>
      <c r="U112" s="103"/>
      <c r="V112" s="97">
        <f t="shared" si="9"/>
        <v>5</v>
      </c>
      <c r="W112" s="97">
        <f t="shared" si="10"/>
        <v>1</v>
      </c>
      <c r="X112" s="97">
        <f t="shared" si="11"/>
        <v>0</v>
      </c>
      <c r="Y112" s="97">
        <f t="shared" si="12"/>
        <v>0</v>
      </c>
      <c r="Z112" s="100" t="s">
        <v>350</v>
      </c>
    </row>
    <row r="113" spans="1:26" s="149" customFormat="1" ht="21.75" customHeight="1">
      <c r="A113" s="201"/>
      <c r="B113" s="202"/>
      <c r="C113" s="199" t="s">
        <v>46</v>
      </c>
      <c r="D113" s="200"/>
      <c r="E113" s="150"/>
      <c r="F113" s="8">
        <f>SUM(F114:F131)</f>
        <v>175</v>
      </c>
      <c r="G113" s="8">
        <f t="shared" ref="G113:Y113" si="14">SUM(G114:G131)</f>
        <v>149</v>
      </c>
      <c r="H113" s="8">
        <f t="shared" si="14"/>
        <v>0</v>
      </c>
      <c r="I113" s="8">
        <f t="shared" si="14"/>
        <v>190</v>
      </c>
      <c r="J113" s="8">
        <f t="shared" si="14"/>
        <v>162</v>
      </c>
      <c r="K113" s="8">
        <f t="shared" si="14"/>
        <v>135</v>
      </c>
      <c r="L113" s="8">
        <f t="shared" si="14"/>
        <v>0</v>
      </c>
      <c r="M113" s="8">
        <f t="shared" si="14"/>
        <v>173</v>
      </c>
      <c r="N113" s="8">
        <f t="shared" si="14"/>
        <v>5</v>
      </c>
      <c r="O113" s="8">
        <f t="shared" si="14"/>
        <v>4</v>
      </c>
      <c r="P113" s="8">
        <f t="shared" si="14"/>
        <v>0</v>
      </c>
      <c r="Q113" s="8">
        <f t="shared" si="14"/>
        <v>0</v>
      </c>
      <c r="R113" s="8">
        <f t="shared" si="14"/>
        <v>39</v>
      </c>
      <c r="S113" s="8">
        <f t="shared" si="14"/>
        <v>24</v>
      </c>
      <c r="T113" s="8">
        <f t="shared" si="14"/>
        <v>0</v>
      </c>
      <c r="U113" s="8">
        <f t="shared" si="14"/>
        <v>0</v>
      </c>
      <c r="V113" s="8">
        <f t="shared" si="14"/>
        <v>44</v>
      </c>
      <c r="W113" s="8">
        <f t="shared" si="14"/>
        <v>28</v>
      </c>
      <c r="X113" s="8">
        <f t="shared" si="14"/>
        <v>0</v>
      </c>
      <c r="Y113" s="8">
        <f t="shared" si="14"/>
        <v>0</v>
      </c>
      <c r="Z113" s="8"/>
    </row>
    <row r="114" spans="1:26" s="101" customFormat="1" ht="21" customHeight="1">
      <c r="A114" s="112"/>
      <c r="B114" s="112">
        <v>1</v>
      </c>
      <c r="C114" s="113" t="s">
        <v>351</v>
      </c>
      <c r="D114" s="26"/>
      <c r="E114" s="98"/>
      <c r="F114" s="24"/>
      <c r="G114" s="24"/>
      <c r="H114" s="24"/>
      <c r="I114" s="99"/>
      <c r="J114" s="103"/>
      <c r="K114" s="103"/>
      <c r="L114" s="103"/>
      <c r="M114" s="99"/>
      <c r="N114" s="99"/>
      <c r="O114" s="103"/>
      <c r="P114" s="103"/>
      <c r="Q114" s="99"/>
      <c r="R114" s="99"/>
      <c r="S114" s="103"/>
      <c r="T114" s="103"/>
      <c r="U114" s="99"/>
      <c r="V114" s="97">
        <f t="shared" si="9"/>
        <v>0</v>
      </c>
      <c r="W114" s="97">
        <f t="shared" si="10"/>
        <v>0</v>
      </c>
      <c r="X114" s="97">
        <f t="shared" si="11"/>
        <v>0</v>
      </c>
      <c r="Y114" s="97">
        <f t="shared" si="12"/>
        <v>0</v>
      </c>
      <c r="Z114" s="100"/>
    </row>
    <row r="115" spans="1:26" ht="22.5" customHeight="1">
      <c r="A115" s="188">
        <v>27</v>
      </c>
      <c r="B115" s="209" t="s">
        <v>29</v>
      </c>
      <c r="C115" s="187" t="s">
        <v>261</v>
      </c>
      <c r="D115" s="9" t="s">
        <v>53</v>
      </c>
      <c r="E115" s="104" t="s">
        <v>45</v>
      </c>
      <c r="F115" s="103">
        <v>11</v>
      </c>
      <c r="G115" s="103">
        <v>9</v>
      </c>
      <c r="H115" s="103"/>
      <c r="I115" s="103">
        <v>12</v>
      </c>
      <c r="J115" s="103">
        <v>9</v>
      </c>
      <c r="K115" s="103">
        <v>9</v>
      </c>
      <c r="L115" s="103"/>
      <c r="M115" s="103">
        <v>12</v>
      </c>
      <c r="N115" s="103"/>
      <c r="O115" s="103">
        <v>1</v>
      </c>
      <c r="P115" s="103"/>
      <c r="Q115" s="103"/>
      <c r="R115" s="103">
        <v>1</v>
      </c>
      <c r="S115" s="103">
        <v>2</v>
      </c>
      <c r="T115" s="103"/>
      <c r="U115" s="103"/>
      <c r="V115" s="97">
        <f t="shared" si="9"/>
        <v>1</v>
      </c>
      <c r="W115" s="97">
        <f t="shared" si="10"/>
        <v>3</v>
      </c>
      <c r="X115" s="97">
        <f t="shared" si="11"/>
        <v>0</v>
      </c>
      <c r="Y115" s="97">
        <f t="shared" si="12"/>
        <v>0</v>
      </c>
      <c r="Z115" s="96"/>
    </row>
    <row r="116" spans="1:26" ht="22.5" customHeight="1">
      <c r="A116" s="188"/>
      <c r="B116" s="186"/>
      <c r="C116" s="187"/>
      <c r="D116" s="9" t="s">
        <v>54</v>
      </c>
      <c r="E116" s="104" t="s">
        <v>45</v>
      </c>
      <c r="F116" s="103">
        <v>11</v>
      </c>
      <c r="G116" s="103">
        <v>9</v>
      </c>
      <c r="H116" s="103"/>
      <c r="I116" s="103">
        <v>12</v>
      </c>
      <c r="J116" s="103">
        <v>10</v>
      </c>
      <c r="K116" s="103">
        <v>10</v>
      </c>
      <c r="L116" s="103"/>
      <c r="M116" s="103">
        <v>11</v>
      </c>
      <c r="N116" s="103">
        <v>1</v>
      </c>
      <c r="O116" s="103"/>
      <c r="P116" s="103"/>
      <c r="Q116" s="103"/>
      <c r="R116" s="103"/>
      <c r="S116" s="103">
        <v>3</v>
      </c>
      <c r="T116" s="103"/>
      <c r="U116" s="103"/>
      <c r="V116" s="97">
        <f t="shared" si="9"/>
        <v>1</v>
      </c>
      <c r="W116" s="97">
        <f t="shared" si="10"/>
        <v>3</v>
      </c>
      <c r="X116" s="97">
        <f t="shared" si="11"/>
        <v>0</v>
      </c>
      <c r="Y116" s="97">
        <f t="shared" si="12"/>
        <v>0</v>
      </c>
      <c r="Z116" s="96"/>
    </row>
    <row r="117" spans="1:26" ht="22.5" customHeight="1">
      <c r="A117" s="188"/>
      <c r="B117" s="186"/>
      <c r="C117" s="187"/>
      <c r="D117" s="9" t="s">
        <v>55</v>
      </c>
      <c r="E117" s="104" t="s">
        <v>45</v>
      </c>
      <c r="F117" s="103">
        <v>11</v>
      </c>
      <c r="G117" s="103">
        <v>9</v>
      </c>
      <c r="H117" s="103"/>
      <c r="I117" s="103">
        <v>12</v>
      </c>
      <c r="J117" s="103">
        <v>10</v>
      </c>
      <c r="K117" s="103">
        <v>8</v>
      </c>
      <c r="L117" s="103"/>
      <c r="M117" s="103">
        <v>10</v>
      </c>
      <c r="N117" s="103"/>
      <c r="O117" s="103"/>
      <c r="P117" s="103"/>
      <c r="Q117" s="103"/>
      <c r="R117" s="103">
        <v>2</v>
      </c>
      <c r="S117" s="103">
        <v>3</v>
      </c>
      <c r="T117" s="103"/>
      <c r="U117" s="103"/>
      <c r="V117" s="97">
        <f t="shared" si="9"/>
        <v>2</v>
      </c>
      <c r="W117" s="97">
        <f t="shared" si="10"/>
        <v>3</v>
      </c>
      <c r="X117" s="97">
        <f t="shared" si="11"/>
        <v>0</v>
      </c>
      <c r="Y117" s="97">
        <f t="shared" si="12"/>
        <v>0</v>
      </c>
      <c r="Z117" s="96"/>
    </row>
    <row r="118" spans="1:26" ht="22.5" customHeight="1">
      <c r="A118" s="188"/>
      <c r="B118" s="186"/>
      <c r="C118" s="187"/>
      <c r="D118" s="9" t="s">
        <v>56</v>
      </c>
      <c r="E118" s="104" t="s">
        <v>45</v>
      </c>
      <c r="F118" s="103">
        <v>11</v>
      </c>
      <c r="G118" s="103">
        <v>9</v>
      </c>
      <c r="H118" s="103"/>
      <c r="I118" s="103">
        <v>12</v>
      </c>
      <c r="J118" s="103">
        <v>11</v>
      </c>
      <c r="K118" s="103">
        <v>9</v>
      </c>
      <c r="L118" s="103"/>
      <c r="M118" s="103">
        <v>12</v>
      </c>
      <c r="N118" s="103"/>
      <c r="O118" s="103"/>
      <c r="P118" s="103"/>
      <c r="Q118" s="103"/>
      <c r="R118" s="103">
        <v>4</v>
      </c>
      <c r="S118" s="103"/>
      <c r="T118" s="103"/>
      <c r="U118" s="103"/>
      <c r="V118" s="97">
        <f t="shared" si="9"/>
        <v>4</v>
      </c>
      <c r="W118" s="97">
        <f t="shared" si="10"/>
        <v>0</v>
      </c>
      <c r="X118" s="97">
        <f t="shared" si="11"/>
        <v>0</v>
      </c>
      <c r="Y118" s="97">
        <f t="shared" si="12"/>
        <v>0</v>
      </c>
      <c r="Z118" s="96"/>
    </row>
    <row r="119" spans="1:26" ht="22.5" customHeight="1">
      <c r="A119" s="188">
        <v>28</v>
      </c>
      <c r="B119" s="209" t="s">
        <v>30</v>
      </c>
      <c r="C119" s="187" t="s">
        <v>263</v>
      </c>
      <c r="D119" s="9" t="s">
        <v>59</v>
      </c>
      <c r="E119" s="104" t="s">
        <v>181</v>
      </c>
      <c r="F119" s="103">
        <v>10</v>
      </c>
      <c r="G119" s="103">
        <v>8</v>
      </c>
      <c r="H119" s="103"/>
      <c r="I119" s="103">
        <v>10</v>
      </c>
      <c r="J119" s="103">
        <v>9</v>
      </c>
      <c r="K119" s="103">
        <v>8</v>
      </c>
      <c r="L119" s="103"/>
      <c r="M119" s="103">
        <v>9</v>
      </c>
      <c r="N119" s="103"/>
      <c r="O119" s="103"/>
      <c r="P119" s="103"/>
      <c r="Q119" s="103"/>
      <c r="R119" s="103">
        <v>6</v>
      </c>
      <c r="S119" s="103">
        <v>4</v>
      </c>
      <c r="T119" s="103"/>
      <c r="U119" s="103"/>
      <c r="V119" s="97">
        <f t="shared" si="9"/>
        <v>6</v>
      </c>
      <c r="W119" s="97">
        <f t="shared" si="10"/>
        <v>4</v>
      </c>
      <c r="X119" s="97">
        <f t="shared" si="11"/>
        <v>0</v>
      </c>
      <c r="Y119" s="97">
        <f t="shared" si="12"/>
        <v>0</v>
      </c>
      <c r="Z119" s="96"/>
    </row>
    <row r="120" spans="1:26" ht="22.5" customHeight="1">
      <c r="A120" s="188"/>
      <c r="B120" s="186"/>
      <c r="C120" s="187"/>
      <c r="D120" s="9" t="s">
        <v>60</v>
      </c>
      <c r="E120" s="104" t="s">
        <v>45</v>
      </c>
      <c r="F120" s="103">
        <v>11</v>
      </c>
      <c r="G120" s="103">
        <v>9</v>
      </c>
      <c r="H120" s="103"/>
      <c r="I120" s="103">
        <v>12</v>
      </c>
      <c r="J120" s="103">
        <v>11</v>
      </c>
      <c r="K120" s="103">
        <v>8</v>
      </c>
      <c r="L120" s="103"/>
      <c r="M120" s="103">
        <v>12</v>
      </c>
      <c r="N120" s="103"/>
      <c r="O120" s="103">
        <v>1</v>
      </c>
      <c r="P120" s="103"/>
      <c r="Q120" s="103"/>
      <c r="R120" s="103">
        <v>3</v>
      </c>
      <c r="S120" s="103">
        <v>1</v>
      </c>
      <c r="T120" s="103"/>
      <c r="U120" s="103"/>
      <c r="V120" s="97">
        <f t="shared" si="9"/>
        <v>3</v>
      </c>
      <c r="W120" s="97">
        <f t="shared" si="10"/>
        <v>2</v>
      </c>
      <c r="X120" s="97">
        <f t="shared" si="11"/>
        <v>0</v>
      </c>
      <c r="Y120" s="97">
        <f t="shared" si="12"/>
        <v>0</v>
      </c>
      <c r="Z120" s="96"/>
    </row>
    <row r="121" spans="1:26" ht="22.5" customHeight="1">
      <c r="A121" s="188"/>
      <c r="B121" s="186"/>
      <c r="C121" s="187"/>
      <c r="D121" s="9" t="s">
        <v>61</v>
      </c>
      <c r="E121" s="104" t="s">
        <v>45</v>
      </c>
      <c r="F121" s="103">
        <v>11</v>
      </c>
      <c r="G121" s="103">
        <v>9</v>
      </c>
      <c r="H121" s="103"/>
      <c r="I121" s="103">
        <v>12</v>
      </c>
      <c r="J121" s="103">
        <v>10</v>
      </c>
      <c r="K121" s="103">
        <v>7</v>
      </c>
      <c r="L121" s="103"/>
      <c r="M121" s="103">
        <v>12</v>
      </c>
      <c r="N121" s="103"/>
      <c r="O121" s="103">
        <v>1</v>
      </c>
      <c r="P121" s="103"/>
      <c r="Q121" s="103"/>
      <c r="R121" s="103">
        <v>2</v>
      </c>
      <c r="S121" s="103"/>
      <c r="T121" s="103"/>
      <c r="U121" s="103"/>
      <c r="V121" s="97">
        <f t="shared" si="9"/>
        <v>2</v>
      </c>
      <c r="W121" s="97">
        <f t="shared" si="10"/>
        <v>1</v>
      </c>
      <c r="X121" s="97">
        <f t="shared" si="11"/>
        <v>0</v>
      </c>
      <c r="Y121" s="97">
        <f t="shared" si="12"/>
        <v>0</v>
      </c>
      <c r="Z121" s="96"/>
    </row>
    <row r="122" spans="1:26" ht="22.5" customHeight="1">
      <c r="A122" s="188"/>
      <c r="B122" s="186"/>
      <c r="C122" s="187"/>
      <c r="D122" s="9" t="s">
        <v>57</v>
      </c>
      <c r="E122" s="104" t="s">
        <v>22</v>
      </c>
      <c r="F122" s="103">
        <v>12</v>
      </c>
      <c r="G122" s="103">
        <v>10</v>
      </c>
      <c r="H122" s="103"/>
      <c r="I122" s="103">
        <v>14</v>
      </c>
      <c r="J122" s="103">
        <v>10</v>
      </c>
      <c r="K122" s="103">
        <v>9</v>
      </c>
      <c r="L122" s="103"/>
      <c r="M122" s="103">
        <v>12</v>
      </c>
      <c r="N122" s="103">
        <v>1</v>
      </c>
      <c r="O122" s="103"/>
      <c r="P122" s="103"/>
      <c r="Q122" s="103"/>
      <c r="R122" s="103">
        <v>3</v>
      </c>
      <c r="S122" s="103">
        <v>2</v>
      </c>
      <c r="T122" s="103"/>
      <c r="U122" s="103"/>
      <c r="V122" s="97">
        <f t="shared" si="9"/>
        <v>4</v>
      </c>
      <c r="W122" s="97">
        <f t="shared" si="10"/>
        <v>2</v>
      </c>
      <c r="X122" s="97">
        <f t="shared" si="11"/>
        <v>0</v>
      </c>
      <c r="Y122" s="97">
        <f t="shared" si="12"/>
        <v>0</v>
      </c>
      <c r="Z122" s="96"/>
    </row>
    <row r="123" spans="1:26" ht="22.5" customHeight="1">
      <c r="A123" s="188"/>
      <c r="B123" s="186"/>
      <c r="C123" s="187"/>
      <c r="D123" s="9" t="s">
        <v>352</v>
      </c>
      <c r="E123" s="104" t="s">
        <v>181</v>
      </c>
      <c r="F123" s="103">
        <v>10</v>
      </c>
      <c r="G123" s="103">
        <v>8</v>
      </c>
      <c r="H123" s="103"/>
      <c r="I123" s="103">
        <v>10</v>
      </c>
      <c r="J123" s="103">
        <v>10</v>
      </c>
      <c r="K123" s="103">
        <v>8</v>
      </c>
      <c r="L123" s="103"/>
      <c r="M123" s="103">
        <v>10</v>
      </c>
      <c r="N123" s="103"/>
      <c r="O123" s="103"/>
      <c r="P123" s="103"/>
      <c r="Q123" s="103"/>
      <c r="R123" s="103">
        <v>4</v>
      </c>
      <c r="S123" s="103">
        <v>4</v>
      </c>
      <c r="T123" s="103"/>
      <c r="U123" s="103"/>
      <c r="V123" s="97">
        <f t="shared" si="9"/>
        <v>4</v>
      </c>
      <c r="W123" s="97">
        <f t="shared" si="10"/>
        <v>4</v>
      </c>
      <c r="X123" s="97">
        <f t="shared" si="11"/>
        <v>0</v>
      </c>
      <c r="Y123" s="97">
        <f t="shared" si="12"/>
        <v>0</v>
      </c>
      <c r="Z123" s="96"/>
    </row>
    <row r="124" spans="1:26" ht="19.5" customHeight="1">
      <c r="A124" s="114"/>
      <c r="B124" s="112">
        <v>2</v>
      </c>
      <c r="C124" s="113" t="s">
        <v>353</v>
      </c>
      <c r="D124" s="9"/>
      <c r="E124" s="104"/>
      <c r="F124" s="103"/>
      <c r="G124" s="103"/>
      <c r="H124" s="103"/>
      <c r="I124" s="103"/>
      <c r="J124" s="103"/>
      <c r="K124" s="103"/>
      <c r="L124" s="103"/>
      <c r="M124" s="103"/>
      <c r="N124" s="103"/>
      <c r="O124" s="103"/>
      <c r="P124" s="103"/>
      <c r="Q124" s="103"/>
      <c r="R124" s="103"/>
      <c r="S124" s="103"/>
      <c r="T124" s="103"/>
      <c r="U124" s="103"/>
      <c r="V124" s="97">
        <f t="shared" si="9"/>
        <v>0</v>
      </c>
      <c r="W124" s="97">
        <f t="shared" si="10"/>
        <v>0</v>
      </c>
      <c r="X124" s="97">
        <f t="shared" si="11"/>
        <v>0</v>
      </c>
      <c r="Y124" s="97">
        <f t="shared" si="12"/>
        <v>0</v>
      </c>
      <c r="Z124" s="96"/>
    </row>
    <row r="125" spans="1:26" ht="24.75" customHeight="1">
      <c r="A125" s="188">
        <v>29</v>
      </c>
      <c r="B125" s="209" t="s">
        <v>185</v>
      </c>
      <c r="C125" s="187" t="s">
        <v>50</v>
      </c>
      <c r="D125" s="9" t="s">
        <v>62</v>
      </c>
      <c r="E125" s="104" t="s">
        <v>181</v>
      </c>
      <c r="F125" s="103">
        <v>10</v>
      </c>
      <c r="G125" s="103">
        <v>8</v>
      </c>
      <c r="H125" s="103"/>
      <c r="I125" s="103">
        <v>10</v>
      </c>
      <c r="J125" s="103">
        <v>10</v>
      </c>
      <c r="K125" s="103">
        <v>6</v>
      </c>
      <c r="L125" s="103"/>
      <c r="M125" s="103">
        <v>10</v>
      </c>
      <c r="N125" s="103"/>
      <c r="O125" s="103"/>
      <c r="P125" s="103"/>
      <c r="Q125" s="103"/>
      <c r="R125" s="103">
        <v>3</v>
      </c>
      <c r="S125" s="103"/>
      <c r="T125" s="103"/>
      <c r="U125" s="103"/>
      <c r="V125" s="97">
        <f t="shared" si="9"/>
        <v>3</v>
      </c>
      <c r="W125" s="97">
        <f t="shared" si="10"/>
        <v>0</v>
      </c>
      <c r="X125" s="97">
        <f t="shared" si="11"/>
        <v>0</v>
      </c>
      <c r="Y125" s="97">
        <f t="shared" si="12"/>
        <v>0</v>
      </c>
      <c r="Z125" s="96"/>
    </row>
    <row r="126" spans="1:26" ht="24.75" customHeight="1">
      <c r="A126" s="188"/>
      <c r="B126" s="186"/>
      <c r="C126" s="187"/>
      <c r="D126" s="9" t="s">
        <v>52</v>
      </c>
      <c r="E126" s="104" t="s">
        <v>45</v>
      </c>
      <c r="F126" s="103">
        <v>11</v>
      </c>
      <c r="G126" s="103">
        <v>10</v>
      </c>
      <c r="H126" s="103"/>
      <c r="I126" s="103">
        <v>12</v>
      </c>
      <c r="J126" s="103">
        <v>10</v>
      </c>
      <c r="K126" s="103">
        <v>9</v>
      </c>
      <c r="L126" s="103"/>
      <c r="M126" s="103">
        <v>10</v>
      </c>
      <c r="N126" s="103">
        <v>2</v>
      </c>
      <c r="O126" s="103"/>
      <c r="P126" s="103"/>
      <c r="Q126" s="103"/>
      <c r="R126" s="103"/>
      <c r="S126" s="103">
        <v>2</v>
      </c>
      <c r="T126" s="103"/>
      <c r="U126" s="103"/>
      <c r="V126" s="97">
        <f t="shared" si="9"/>
        <v>2</v>
      </c>
      <c r="W126" s="97">
        <f t="shared" si="10"/>
        <v>2</v>
      </c>
      <c r="X126" s="97">
        <f t="shared" si="11"/>
        <v>0</v>
      </c>
      <c r="Y126" s="97">
        <f t="shared" si="12"/>
        <v>0</v>
      </c>
      <c r="Z126" s="96"/>
    </row>
    <row r="127" spans="1:26" ht="24.75" customHeight="1">
      <c r="A127" s="188"/>
      <c r="B127" s="186"/>
      <c r="C127" s="187"/>
      <c r="D127" s="9" t="s">
        <v>51</v>
      </c>
      <c r="E127" s="104" t="s">
        <v>45</v>
      </c>
      <c r="F127" s="103">
        <v>11</v>
      </c>
      <c r="G127" s="103">
        <v>10</v>
      </c>
      <c r="H127" s="103"/>
      <c r="I127" s="103">
        <v>12</v>
      </c>
      <c r="J127" s="103">
        <v>11</v>
      </c>
      <c r="K127" s="103">
        <v>9</v>
      </c>
      <c r="L127" s="103"/>
      <c r="M127" s="103">
        <v>11</v>
      </c>
      <c r="N127" s="103">
        <v>1</v>
      </c>
      <c r="O127" s="103"/>
      <c r="P127" s="103"/>
      <c r="Q127" s="103"/>
      <c r="R127" s="103">
        <v>1</v>
      </c>
      <c r="S127" s="103">
        <v>1</v>
      </c>
      <c r="T127" s="103"/>
      <c r="U127" s="103"/>
      <c r="V127" s="97">
        <f t="shared" si="9"/>
        <v>2</v>
      </c>
      <c r="W127" s="97">
        <f t="shared" si="10"/>
        <v>1</v>
      </c>
      <c r="X127" s="97">
        <f t="shared" si="11"/>
        <v>0</v>
      </c>
      <c r="Y127" s="97">
        <f t="shared" si="12"/>
        <v>0</v>
      </c>
      <c r="Z127" s="96"/>
    </row>
    <row r="128" spans="1:26" ht="24.75" customHeight="1">
      <c r="A128" s="188"/>
      <c r="B128" s="186"/>
      <c r="C128" s="187"/>
      <c r="D128" s="9" t="s">
        <v>50</v>
      </c>
      <c r="E128" s="104" t="s">
        <v>45</v>
      </c>
      <c r="F128" s="103">
        <v>11</v>
      </c>
      <c r="G128" s="103">
        <v>10</v>
      </c>
      <c r="H128" s="103"/>
      <c r="I128" s="103">
        <v>12</v>
      </c>
      <c r="J128" s="103">
        <v>10</v>
      </c>
      <c r="K128" s="103">
        <v>8</v>
      </c>
      <c r="L128" s="103"/>
      <c r="M128" s="103">
        <v>10</v>
      </c>
      <c r="N128" s="103"/>
      <c r="O128" s="103"/>
      <c r="P128" s="103"/>
      <c r="Q128" s="103"/>
      <c r="R128" s="103">
        <v>2</v>
      </c>
      <c r="S128" s="103"/>
      <c r="T128" s="103"/>
      <c r="U128" s="103"/>
      <c r="V128" s="97">
        <f t="shared" si="9"/>
        <v>2</v>
      </c>
      <c r="W128" s="97">
        <f t="shared" si="10"/>
        <v>0</v>
      </c>
      <c r="X128" s="97">
        <f t="shared" si="11"/>
        <v>0</v>
      </c>
      <c r="Y128" s="97">
        <f t="shared" si="12"/>
        <v>0</v>
      </c>
      <c r="Z128" s="96"/>
    </row>
    <row r="129" spans="1:26" ht="26.25" customHeight="1">
      <c r="A129" s="188">
        <v>30</v>
      </c>
      <c r="B129" s="209" t="s">
        <v>203</v>
      </c>
      <c r="C129" s="187" t="s">
        <v>265</v>
      </c>
      <c r="D129" s="9" t="s">
        <v>47</v>
      </c>
      <c r="E129" s="104" t="s">
        <v>45</v>
      </c>
      <c r="F129" s="103">
        <v>11</v>
      </c>
      <c r="G129" s="103">
        <v>10</v>
      </c>
      <c r="H129" s="103"/>
      <c r="I129" s="103">
        <v>12</v>
      </c>
      <c r="J129" s="103">
        <v>11</v>
      </c>
      <c r="K129" s="103">
        <v>8</v>
      </c>
      <c r="L129" s="103"/>
      <c r="M129" s="103">
        <v>10</v>
      </c>
      <c r="N129" s="103"/>
      <c r="O129" s="103">
        <v>1</v>
      </c>
      <c r="P129" s="103"/>
      <c r="Q129" s="103"/>
      <c r="R129" s="103">
        <v>3</v>
      </c>
      <c r="S129" s="103"/>
      <c r="T129" s="103"/>
      <c r="U129" s="103"/>
      <c r="V129" s="97">
        <f t="shared" si="9"/>
        <v>3</v>
      </c>
      <c r="W129" s="97">
        <f t="shared" si="10"/>
        <v>1</v>
      </c>
      <c r="X129" s="97">
        <f t="shared" si="11"/>
        <v>0</v>
      </c>
      <c r="Y129" s="97">
        <f t="shared" si="12"/>
        <v>0</v>
      </c>
      <c r="Z129" s="96"/>
    </row>
    <row r="130" spans="1:26" ht="26.25" customHeight="1">
      <c r="A130" s="188"/>
      <c r="B130" s="209"/>
      <c r="C130" s="187"/>
      <c r="D130" s="9" t="s">
        <v>48</v>
      </c>
      <c r="E130" s="104" t="s">
        <v>45</v>
      </c>
      <c r="F130" s="103">
        <v>11</v>
      </c>
      <c r="G130" s="103">
        <v>10</v>
      </c>
      <c r="H130" s="103"/>
      <c r="I130" s="103">
        <v>12</v>
      </c>
      <c r="J130" s="103">
        <v>9</v>
      </c>
      <c r="K130" s="103">
        <v>10</v>
      </c>
      <c r="L130" s="103"/>
      <c r="M130" s="103">
        <v>12</v>
      </c>
      <c r="N130" s="103"/>
      <c r="O130" s="103"/>
      <c r="P130" s="103"/>
      <c r="Q130" s="103"/>
      <c r="R130" s="103">
        <v>1</v>
      </c>
      <c r="S130" s="103">
        <v>1</v>
      </c>
      <c r="T130" s="103"/>
      <c r="U130" s="103"/>
      <c r="V130" s="97">
        <f t="shared" si="9"/>
        <v>1</v>
      </c>
      <c r="W130" s="97">
        <f t="shared" si="10"/>
        <v>1</v>
      </c>
      <c r="X130" s="97">
        <f t="shared" si="11"/>
        <v>0</v>
      </c>
      <c r="Y130" s="97">
        <f t="shared" si="12"/>
        <v>0</v>
      </c>
      <c r="Z130" s="96"/>
    </row>
    <row r="131" spans="1:26" ht="27.75" customHeight="1">
      <c r="A131" s="188"/>
      <c r="B131" s="209"/>
      <c r="C131" s="187"/>
      <c r="D131" s="9" t="s">
        <v>49</v>
      </c>
      <c r="E131" s="104" t="s">
        <v>22</v>
      </c>
      <c r="F131" s="103">
        <v>12</v>
      </c>
      <c r="G131" s="103">
        <v>11</v>
      </c>
      <c r="H131" s="103"/>
      <c r="I131" s="103">
        <v>14</v>
      </c>
      <c r="J131" s="103">
        <v>11</v>
      </c>
      <c r="K131" s="103">
        <v>9</v>
      </c>
      <c r="L131" s="103"/>
      <c r="M131" s="103">
        <v>10</v>
      </c>
      <c r="N131" s="103"/>
      <c r="O131" s="103"/>
      <c r="P131" s="103"/>
      <c r="Q131" s="103"/>
      <c r="R131" s="103">
        <v>4</v>
      </c>
      <c r="S131" s="103">
        <v>1</v>
      </c>
      <c r="T131" s="103"/>
      <c r="U131" s="103"/>
      <c r="V131" s="97">
        <f t="shared" si="9"/>
        <v>4</v>
      </c>
      <c r="W131" s="97">
        <f t="shared" si="10"/>
        <v>1</v>
      </c>
      <c r="X131" s="97">
        <f t="shared" si="11"/>
        <v>0</v>
      </c>
      <c r="Y131" s="97">
        <f t="shared" si="12"/>
        <v>0</v>
      </c>
      <c r="Z131" s="96"/>
    </row>
    <row r="132" spans="1:26" s="101" customFormat="1" ht="22.5" customHeight="1">
      <c r="A132" s="201"/>
      <c r="B132" s="202"/>
      <c r="C132" s="199" t="s">
        <v>354</v>
      </c>
      <c r="D132" s="200"/>
      <c r="E132" s="98"/>
      <c r="F132" s="99">
        <f>SUM(F133:F151)</f>
        <v>211</v>
      </c>
      <c r="G132" s="99">
        <f t="shared" ref="G132:Y132" si="15">SUM(G133:G151)</f>
        <v>171</v>
      </c>
      <c r="H132" s="99">
        <f t="shared" si="15"/>
        <v>0</v>
      </c>
      <c r="I132" s="99">
        <f t="shared" si="15"/>
        <v>230</v>
      </c>
      <c r="J132" s="99">
        <f t="shared" si="15"/>
        <v>197</v>
      </c>
      <c r="K132" s="99">
        <f t="shared" si="15"/>
        <v>161</v>
      </c>
      <c r="L132" s="99">
        <f t="shared" si="15"/>
        <v>0</v>
      </c>
      <c r="M132" s="99">
        <f t="shared" si="15"/>
        <v>195</v>
      </c>
      <c r="N132" s="99">
        <f t="shared" si="15"/>
        <v>0</v>
      </c>
      <c r="O132" s="99">
        <f t="shared" si="15"/>
        <v>3</v>
      </c>
      <c r="P132" s="99">
        <f t="shared" si="15"/>
        <v>0</v>
      </c>
      <c r="Q132" s="99">
        <f t="shared" si="15"/>
        <v>0</v>
      </c>
      <c r="R132" s="99">
        <f t="shared" si="15"/>
        <v>44</v>
      </c>
      <c r="S132" s="99">
        <f t="shared" si="15"/>
        <v>19</v>
      </c>
      <c r="T132" s="99">
        <f t="shared" si="15"/>
        <v>0</v>
      </c>
      <c r="U132" s="99">
        <f t="shared" si="15"/>
        <v>0</v>
      </c>
      <c r="V132" s="99">
        <f t="shared" si="15"/>
        <v>44</v>
      </c>
      <c r="W132" s="99">
        <f t="shared" si="15"/>
        <v>22</v>
      </c>
      <c r="X132" s="99">
        <f t="shared" si="15"/>
        <v>0</v>
      </c>
      <c r="Y132" s="99">
        <f t="shared" si="15"/>
        <v>0</v>
      </c>
      <c r="Z132" s="100"/>
    </row>
    <row r="133" spans="1:26" ht="16.5">
      <c r="A133" s="188">
        <v>31</v>
      </c>
      <c r="B133" s="186">
        <v>1</v>
      </c>
      <c r="C133" s="187" t="s">
        <v>266</v>
      </c>
      <c r="D133" s="115" t="s">
        <v>355</v>
      </c>
      <c r="E133" s="116" t="s">
        <v>45</v>
      </c>
      <c r="F133" s="103">
        <v>11</v>
      </c>
      <c r="G133" s="103">
        <v>8</v>
      </c>
      <c r="H133" s="103"/>
      <c r="I133" s="103">
        <v>12</v>
      </c>
      <c r="J133" s="103">
        <v>11</v>
      </c>
      <c r="K133" s="103">
        <v>8</v>
      </c>
      <c r="L133" s="103"/>
      <c r="M133" s="103">
        <v>10</v>
      </c>
      <c r="N133" s="103"/>
      <c r="O133" s="103"/>
      <c r="P133" s="103"/>
      <c r="Q133" s="103"/>
      <c r="R133" s="103">
        <v>4</v>
      </c>
      <c r="S133" s="103"/>
      <c r="T133" s="103"/>
      <c r="U133" s="103"/>
      <c r="V133" s="97">
        <f t="shared" ref="V133:V165" si="16">N133+R133</f>
        <v>4</v>
      </c>
      <c r="W133" s="97">
        <f t="shared" ref="W133:W165" si="17">O133+S133</f>
        <v>0</v>
      </c>
      <c r="X133" s="97">
        <f t="shared" ref="X133:X165" si="18">P133+T133</f>
        <v>0</v>
      </c>
      <c r="Y133" s="97">
        <f t="shared" ref="Y133:Y165" si="19">Q133+U133</f>
        <v>0</v>
      </c>
      <c r="Z133" s="96"/>
    </row>
    <row r="134" spans="1:26" ht="16.5">
      <c r="A134" s="188"/>
      <c r="B134" s="186"/>
      <c r="C134" s="187"/>
      <c r="D134" s="115" t="s">
        <v>78</v>
      </c>
      <c r="E134" s="116" t="s">
        <v>22</v>
      </c>
      <c r="F134" s="103">
        <v>12</v>
      </c>
      <c r="G134" s="103">
        <v>10</v>
      </c>
      <c r="H134" s="103"/>
      <c r="I134" s="103">
        <v>14</v>
      </c>
      <c r="J134" s="103">
        <v>10</v>
      </c>
      <c r="K134" s="103">
        <v>10</v>
      </c>
      <c r="L134" s="103"/>
      <c r="M134" s="103">
        <v>14</v>
      </c>
      <c r="N134" s="103"/>
      <c r="O134" s="103"/>
      <c r="P134" s="103"/>
      <c r="Q134" s="103"/>
      <c r="R134" s="103">
        <v>2</v>
      </c>
      <c r="S134" s="103"/>
      <c r="T134" s="103"/>
      <c r="U134" s="103"/>
      <c r="V134" s="97">
        <f t="shared" si="16"/>
        <v>2</v>
      </c>
      <c r="W134" s="97">
        <f t="shared" si="17"/>
        <v>0</v>
      </c>
      <c r="X134" s="97">
        <f t="shared" si="18"/>
        <v>0</v>
      </c>
      <c r="Y134" s="97">
        <f t="shared" si="19"/>
        <v>0</v>
      </c>
      <c r="Z134" s="96"/>
    </row>
    <row r="135" spans="1:26" ht="16.5">
      <c r="A135" s="188">
        <v>32</v>
      </c>
      <c r="B135" s="186">
        <v>2</v>
      </c>
      <c r="C135" s="187" t="s">
        <v>267</v>
      </c>
      <c r="D135" s="115" t="s">
        <v>86</v>
      </c>
      <c r="E135" s="116" t="s">
        <v>45</v>
      </c>
      <c r="F135" s="103">
        <v>11</v>
      </c>
      <c r="G135" s="103">
        <v>8</v>
      </c>
      <c r="H135" s="103"/>
      <c r="I135" s="103">
        <v>12</v>
      </c>
      <c r="J135" s="103">
        <v>10</v>
      </c>
      <c r="K135" s="103">
        <v>8</v>
      </c>
      <c r="L135" s="103"/>
      <c r="M135" s="103">
        <v>9</v>
      </c>
      <c r="N135" s="103"/>
      <c r="O135" s="103"/>
      <c r="P135" s="103"/>
      <c r="Q135" s="103"/>
      <c r="R135" s="103">
        <v>4</v>
      </c>
      <c r="S135" s="103">
        <v>2</v>
      </c>
      <c r="T135" s="103"/>
      <c r="U135" s="103"/>
      <c r="V135" s="97">
        <f t="shared" si="16"/>
        <v>4</v>
      </c>
      <c r="W135" s="97">
        <f t="shared" si="17"/>
        <v>2</v>
      </c>
      <c r="X135" s="97">
        <f t="shared" si="18"/>
        <v>0</v>
      </c>
      <c r="Y135" s="97">
        <f t="shared" si="19"/>
        <v>0</v>
      </c>
      <c r="Z135" s="96"/>
    </row>
    <row r="136" spans="1:26" ht="16.5">
      <c r="A136" s="188"/>
      <c r="B136" s="186"/>
      <c r="C136" s="187"/>
      <c r="D136" s="115" t="s">
        <v>93</v>
      </c>
      <c r="E136" s="116" t="s">
        <v>45</v>
      </c>
      <c r="F136" s="103">
        <v>10</v>
      </c>
      <c r="G136" s="103">
        <v>9</v>
      </c>
      <c r="H136" s="103"/>
      <c r="I136" s="103">
        <v>12</v>
      </c>
      <c r="J136" s="103">
        <v>10</v>
      </c>
      <c r="K136" s="103">
        <v>8</v>
      </c>
      <c r="L136" s="103"/>
      <c r="M136" s="103">
        <v>10</v>
      </c>
      <c r="N136" s="103"/>
      <c r="O136" s="103">
        <v>1</v>
      </c>
      <c r="P136" s="103"/>
      <c r="Q136" s="103"/>
      <c r="R136" s="103">
        <v>2</v>
      </c>
      <c r="S136" s="103">
        <v>3</v>
      </c>
      <c r="T136" s="103"/>
      <c r="U136" s="103"/>
      <c r="V136" s="97">
        <f t="shared" si="16"/>
        <v>2</v>
      </c>
      <c r="W136" s="97">
        <f t="shared" si="17"/>
        <v>4</v>
      </c>
      <c r="X136" s="97">
        <f t="shared" si="18"/>
        <v>0</v>
      </c>
      <c r="Y136" s="97">
        <f t="shared" si="19"/>
        <v>0</v>
      </c>
      <c r="Z136" s="96"/>
    </row>
    <row r="137" spans="1:26" ht="16.5">
      <c r="A137" s="188">
        <v>33</v>
      </c>
      <c r="B137" s="186">
        <v>3</v>
      </c>
      <c r="C137" s="187" t="s">
        <v>242</v>
      </c>
      <c r="D137" s="115" t="s">
        <v>356</v>
      </c>
      <c r="E137" s="116" t="s">
        <v>22</v>
      </c>
      <c r="F137" s="103">
        <v>12</v>
      </c>
      <c r="G137" s="103">
        <v>11</v>
      </c>
      <c r="H137" s="103"/>
      <c r="I137" s="103">
        <v>14</v>
      </c>
      <c r="J137" s="103">
        <v>11</v>
      </c>
      <c r="K137" s="103">
        <v>10</v>
      </c>
      <c r="L137" s="103"/>
      <c r="M137" s="103">
        <v>12</v>
      </c>
      <c r="N137" s="103"/>
      <c r="O137" s="103"/>
      <c r="P137" s="103"/>
      <c r="Q137" s="103"/>
      <c r="R137" s="103">
        <v>3</v>
      </c>
      <c r="S137" s="103"/>
      <c r="T137" s="103"/>
      <c r="U137" s="103"/>
      <c r="V137" s="97">
        <f t="shared" si="16"/>
        <v>3</v>
      </c>
      <c r="W137" s="97">
        <f t="shared" si="17"/>
        <v>0</v>
      </c>
      <c r="X137" s="97">
        <f t="shared" si="18"/>
        <v>0</v>
      </c>
      <c r="Y137" s="97">
        <f t="shared" si="19"/>
        <v>0</v>
      </c>
      <c r="Z137" s="96"/>
    </row>
    <row r="138" spans="1:26" ht="16.5">
      <c r="A138" s="188"/>
      <c r="B138" s="186"/>
      <c r="C138" s="187"/>
      <c r="D138" s="115" t="s">
        <v>357</v>
      </c>
      <c r="E138" s="116" t="s">
        <v>181</v>
      </c>
      <c r="F138" s="103">
        <v>10</v>
      </c>
      <c r="G138" s="103">
        <v>8</v>
      </c>
      <c r="H138" s="103"/>
      <c r="I138" s="103">
        <v>10</v>
      </c>
      <c r="J138" s="103">
        <v>10</v>
      </c>
      <c r="K138" s="103">
        <v>8</v>
      </c>
      <c r="L138" s="103"/>
      <c r="M138" s="103">
        <v>8</v>
      </c>
      <c r="N138" s="103"/>
      <c r="O138" s="103"/>
      <c r="P138" s="103"/>
      <c r="Q138" s="103"/>
      <c r="R138" s="103"/>
      <c r="S138" s="103"/>
      <c r="T138" s="103"/>
      <c r="U138" s="103"/>
      <c r="V138" s="97">
        <f t="shared" si="16"/>
        <v>0</v>
      </c>
      <c r="W138" s="97">
        <f t="shared" si="17"/>
        <v>0</v>
      </c>
      <c r="X138" s="97">
        <f t="shared" si="18"/>
        <v>0</v>
      </c>
      <c r="Y138" s="97">
        <f t="shared" si="19"/>
        <v>0</v>
      </c>
      <c r="Z138" s="96"/>
    </row>
    <row r="139" spans="1:26" ht="16.5">
      <c r="A139" s="188"/>
      <c r="B139" s="186"/>
      <c r="C139" s="187"/>
      <c r="D139" s="115" t="s">
        <v>358</v>
      </c>
      <c r="E139" s="116" t="s">
        <v>45</v>
      </c>
      <c r="F139" s="103">
        <v>10</v>
      </c>
      <c r="G139" s="103">
        <v>9</v>
      </c>
      <c r="H139" s="103"/>
      <c r="I139" s="103">
        <v>12</v>
      </c>
      <c r="J139" s="103">
        <v>10</v>
      </c>
      <c r="K139" s="103">
        <v>9</v>
      </c>
      <c r="L139" s="103"/>
      <c r="M139" s="103">
        <v>10</v>
      </c>
      <c r="N139" s="103"/>
      <c r="O139" s="103"/>
      <c r="P139" s="103"/>
      <c r="Q139" s="103"/>
      <c r="R139" s="103">
        <v>2</v>
      </c>
      <c r="S139" s="103">
        <v>1</v>
      </c>
      <c r="T139" s="103"/>
      <c r="U139" s="103"/>
      <c r="V139" s="97">
        <f t="shared" si="16"/>
        <v>2</v>
      </c>
      <c r="W139" s="97">
        <f t="shared" si="17"/>
        <v>1</v>
      </c>
      <c r="X139" s="97">
        <f t="shared" si="18"/>
        <v>0</v>
      </c>
      <c r="Y139" s="97">
        <f t="shared" si="19"/>
        <v>0</v>
      </c>
      <c r="Z139" s="96"/>
    </row>
    <row r="140" spans="1:26" ht="16.5">
      <c r="A140" s="188"/>
      <c r="B140" s="186"/>
      <c r="C140" s="187"/>
      <c r="D140" s="115" t="s">
        <v>359</v>
      </c>
      <c r="E140" s="116" t="s">
        <v>45</v>
      </c>
      <c r="F140" s="103">
        <v>11</v>
      </c>
      <c r="G140" s="103">
        <v>9</v>
      </c>
      <c r="H140" s="103"/>
      <c r="I140" s="103">
        <v>12</v>
      </c>
      <c r="J140" s="103">
        <v>10</v>
      </c>
      <c r="K140" s="103">
        <v>9</v>
      </c>
      <c r="L140" s="103"/>
      <c r="M140" s="103">
        <v>9</v>
      </c>
      <c r="N140" s="103"/>
      <c r="O140" s="103"/>
      <c r="P140" s="103"/>
      <c r="Q140" s="103"/>
      <c r="R140" s="103"/>
      <c r="S140" s="103">
        <v>1</v>
      </c>
      <c r="T140" s="103"/>
      <c r="U140" s="103"/>
      <c r="V140" s="97">
        <f t="shared" si="16"/>
        <v>0</v>
      </c>
      <c r="W140" s="97">
        <f t="shared" si="17"/>
        <v>1</v>
      </c>
      <c r="X140" s="97">
        <f t="shared" si="18"/>
        <v>0</v>
      </c>
      <c r="Y140" s="97">
        <f t="shared" si="19"/>
        <v>0</v>
      </c>
      <c r="Z140" s="96"/>
    </row>
    <row r="141" spans="1:26" ht="16.5">
      <c r="A141" s="188"/>
      <c r="B141" s="186"/>
      <c r="C141" s="187"/>
      <c r="D141" s="115" t="s">
        <v>77</v>
      </c>
      <c r="E141" s="116" t="s">
        <v>45</v>
      </c>
      <c r="F141" s="103">
        <v>11</v>
      </c>
      <c r="G141" s="103">
        <v>10</v>
      </c>
      <c r="H141" s="103"/>
      <c r="I141" s="103">
        <v>12</v>
      </c>
      <c r="J141" s="103">
        <v>10</v>
      </c>
      <c r="K141" s="103">
        <v>9</v>
      </c>
      <c r="L141" s="103"/>
      <c r="M141" s="103">
        <v>12</v>
      </c>
      <c r="N141" s="103"/>
      <c r="O141" s="103"/>
      <c r="P141" s="103"/>
      <c r="Q141" s="103"/>
      <c r="R141" s="103">
        <v>2</v>
      </c>
      <c r="S141" s="103">
        <v>1</v>
      </c>
      <c r="T141" s="103"/>
      <c r="U141" s="103"/>
      <c r="V141" s="97">
        <f t="shared" si="16"/>
        <v>2</v>
      </c>
      <c r="W141" s="97">
        <f t="shared" si="17"/>
        <v>1</v>
      </c>
      <c r="X141" s="97">
        <f t="shared" si="18"/>
        <v>0</v>
      </c>
      <c r="Y141" s="97">
        <f t="shared" si="19"/>
        <v>0</v>
      </c>
      <c r="Z141" s="96"/>
    </row>
    <row r="142" spans="1:26" ht="16.5">
      <c r="A142" s="188">
        <v>34</v>
      </c>
      <c r="B142" s="186">
        <v>4</v>
      </c>
      <c r="C142" s="187" t="s">
        <v>269</v>
      </c>
      <c r="D142" s="115" t="s">
        <v>360</v>
      </c>
      <c r="E142" s="116" t="s">
        <v>45</v>
      </c>
      <c r="F142" s="103">
        <v>11</v>
      </c>
      <c r="G142" s="103">
        <v>9</v>
      </c>
      <c r="H142" s="103"/>
      <c r="I142" s="103">
        <v>12</v>
      </c>
      <c r="J142" s="103">
        <v>10</v>
      </c>
      <c r="K142" s="103">
        <v>8</v>
      </c>
      <c r="L142" s="103"/>
      <c r="M142" s="103">
        <v>10</v>
      </c>
      <c r="N142" s="103"/>
      <c r="O142" s="103"/>
      <c r="P142" s="103"/>
      <c r="Q142" s="103"/>
      <c r="R142" s="103">
        <v>1</v>
      </c>
      <c r="S142" s="103"/>
      <c r="T142" s="103"/>
      <c r="U142" s="103"/>
      <c r="V142" s="97">
        <f t="shared" si="16"/>
        <v>1</v>
      </c>
      <c r="W142" s="97">
        <f t="shared" si="17"/>
        <v>0</v>
      </c>
      <c r="X142" s="97">
        <f t="shared" si="18"/>
        <v>0</v>
      </c>
      <c r="Y142" s="97">
        <f t="shared" si="19"/>
        <v>0</v>
      </c>
      <c r="Z142" s="96"/>
    </row>
    <row r="143" spans="1:26" ht="16.5">
      <c r="A143" s="188"/>
      <c r="B143" s="186"/>
      <c r="C143" s="187"/>
      <c r="D143" s="115" t="s">
        <v>361</v>
      </c>
      <c r="E143" s="116" t="s">
        <v>22</v>
      </c>
      <c r="F143" s="103">
        <v>12</v>
      </c>
      <c r="G143" s="103">
        <v>10</v>
      </c>
      <c r="H143" s="103"/>
      <c r="I143" s="103">
        <v>14</v>
      </c>
      <c r="J143" s="103">
        <v>12</v>
      </c>
      <c r="K143" s="103">
        <v>10</v>
      </c>
      <c r="L143" s="103"/>
      <c r="M143" s="103">
        <v>11</v>
      </c>
      <c r="N143" s="103"/>
      <c r="O143" s="103"/>
      <c r="P143" s="103"/>
      <c r="Q143" s="103"/>
      <c r="R143" s="103">
        <v>4</v>
      </c>
      <c r="S143" s="103">
        <v>1</v>
      </c>
      <c r="T143" s="103"/>
      <c r="U143" s="103"/>
      <c r="V143" s="97">
        <f t="shared" si="16"/>
        <v>4</v>
      </c>
      <c r="W143" s="97">
        <f t="shared" si="17"/>
        <v>1</v>
      </c>
      <c r="X143" s="97">
        <f t="shared" si="18"/>
        <v>0</v>
      </c>
      <c r="Y143" s="97">
        <f t="shared" si="19"/>
        <v>0</v>
      </c>
      <c r="Z143" s="96"/>
    </row>
    <row r="144" spans="1:26" ht="16.5">
      <c r="A144" s="188"/>
      <c r="B144" s="186"/>
      <c r="C144" s="187"/>
      <c r="D144" s="115" t="s">
        <v>91</v>
      </c>
      <c r="E144" s="116" t="s">
        <v>45</v>
      </c>
      <c r="F144" s="103">
        <v>12</v>
      </c>
      <c r="G144" s="103">
        <v>8</v>
      </c>
      <c r="H144" s="103"/>
      <c r="I144" s="103">
        <v>12</v>
      </c>
      <c r="J144" s="103">
        <v>11</v>
      </c>
      <c r="K144" s="103">
        <v>7</v>
      </c>
      <c r="L144" s="103"/>
      <c r="M144" s="103">
        <v>11</v>
      </c>
      <c r="N144" s="103"/>
      <c r="O144" s="103"/>
      <c r="P144" s="103"/>
      <c r="Q144" s="103"/>
      <c r="R144" s="103">
        <v>2</v>
      </c>
      <c r="S144" s="103">
        <v>1</v>
      </c>
      <c r="T144" s="103"/>
      <c r="U144" s="103"/>
      <c r="V144" s="97">
        <f t="shared" si="16"/>
        <v>2</v>
      </c>
      <c r="W144" s="97">
        <f t="shared" si="17"/>
        <v>1</v>
      </c>
      <c r="X144" s="97">
        <f t="shared" si="18"/>
        <v>0</v>
      </c>
      <c r="Y144" s="97">
        <f t="shared" si="19"/>
        <v>0</v>
      </c>
      <c r="Z144" s="96"/>
    </row>
    <row r="145" spans="1:26" ht="21.75" customHeight="1">
      <c r="A145" s="188">
        <v>35</v>
      </c>
      <c r="B145" s="186">
        <v>5</v>
      </c>
      <c r="C145" s="187" t="s">
        <v>271</v>
      </c>
      <c r="D145" s="115" t="s">
        <v>362</v>
      </c>
      <c r="E145" s="116" t="s">
        <v>45</v>
      </c>
      <c r="F145" s="103">
        <v>11</v>
      </c>
      <c r="G145" s="103">
        <v>10</v>
      </c>
      <c r="H145" s="103"/>
      <c r="I145" s="103">
        <v>12</v>
      </c>
      <c r="J145" s="103">
        <v>10</v>
      </c>
      <c r="K145" s="103">
        <v>8</v>
      </c>
      <c r="L145" s="103"/>
      <c r="M145" s="103">
        <v>10</v>
      </c>
      <c r="N145" s="103"/>
      <c r="O145" s="103">
        <v>1</v>
      </c>
      <c r="P145" s="103"/>
      <c r="Q145" s="103"/>
      <c r="R145" s="103">
        <v>1</v>
      </c>
      <c r="S145" s="103"/>
      <c r="T145" s="103"/>
      <c r="U145" s="103"/>
      <c r="V145" s="97">
        <f t="shared" si="16"/>
        <v>1</v>
      </c>
      <c r="W145" s="97">
        <f t="shared" si="17"/>
        <v>1</v>
      </c>
      <c r="X145" s="97">
        <f t="shared" si="18"/>
        <v>0</v>
      </c>
      <c r="Y145" s="97">
        <f t="shared" si="19"/>
        <v>0</v>
      </c>
      <c r="Z145" s="96"/>
    </row>
    <row r="146" spans="1:26" ht="21.75" customHeight="1">
      <c r="A146" s="188"/>
      <c r="B146" s="186"/>
      <c r="C146" s="187"/>
      <c r="D146" s="115" t="s">
        <v>81</v>
      </c>
      <c r="E146" s="116" t="s">
        <v>45</v>
      </c>
      <c r="F146" s="103">
        <v>11</v>
      </c>
      <c r="G146" s="103">
        <v>8</v>
      </c>
      <c r="H146" s="103"/>
      <c r="I146" s="103">
        <v>12</v>
      </c>
      <c r="J146" s="103">
        <v>10</v>
      </c>
      <c r="K146" s="103">
        <v>8</v>
      </c>
      <c r="L146" s="103"/>
      <c r="M146" s="103">
        <v>11</v>
      </c>
      <c r="N146" s="103"/>
      <c r="O146" s="103"/>
      <c r="P146" s="103"/>
      <c r="Q146" s="103"/>
      <c r="R146" s="103">
        <v>2</v>
      </c>
      <c r="S146" s="103">
        <v>4</v>
      </c>
      <c r="T146" s="103"/>
      <c r="U146" s="103"/>
      <c r="V146" s="97">
        <f t="shared" si="16"/>
        <v>2</v>
      </c>
      <c r="W146" s="97">
        <f t="shared" si="17"/>
        <v>4</v>
      </c>
      <c r="X146" s="97">
        <f t="shared" si="18"/>
        <v>0</v>
      </c>
      <c r="Y146" s="97">
        <f t="shared" si="19"/>
        <v>0</v>
      </c>
      <c r="Z146" s="96"/>
    </row>
    <row r="147" spans="1:26" ht="21.75" customHeight="1">
      <c r="A147" s="188"/>
      <c r="B147" s="186"/>
      <c r="C147" s="187"/>
      <c r="D147" s="115" t="s">
        <v>363</v>
      </c>
      <c r="E147" s="116" t="s">
        <v>45</v>
      </c>
      <c r="F147" s="103">
        <v>12</v>
      </c>
      <c r="G147" s="103">
        <v>9</v>
      </c>
      <c r="H147" s="103"/>
      <c r="I147" s="103">
        <v>12</v>
      </c>
      <c r="J147" s="103">
        <v>11</v>
      </c>
      <c r="K147" s="103">
        <v>9</v>
      </c>
      <c r="L147" s="103"/>
      <c r="M147" s="103">
        <v>7</v>
      </c>
      <c r="N147" s="103"/>
      <c r="O147" s="103"/>
      <c r="P147" s="103"/>
      <c r="Q147" s="103"/>
      <c r="R147" s="103">
        <v>2</v>
      </c>
      <c r="S147" s="103">
        <v>2</v>
      </c>
      <c r="T147" s="103"/>
      <c r="U147" s="103"/>
      <c r="V147" s="97">
        <f t="shared" si="16"/>
        <v>2</v>
      </c>
      <c r="W147" s="97">
        <f t="shared" si="17"/>
        <v>2</v>
      </c>
      <c r="X147" s="97">
        <f t="shared" si="18"/>
        <v>0</v>
      </c>
      <c r="Y147" s="97">
        <f t="shared" si="19"/>
        <v>0</v>
      </c>
      <c r="Z147" s="96"/>
    </row>
    <row r="148" spans="1:26" ht="21.75" customHeight="1">
      <c r="A148" s="188">
        <v>36</v>
      </c>
      <c r="B148" s="186">
        <v>6</v>
      </c>
      <c r="C148" s="187" t="s">
        <v>364</v>
      </c>
      <c r="D148" s="115" t="s">
        <v>365</v>
      </c>
      <c r="E148" s="116" t="s">
        <v>45</v>
      </c>
      <c r="F148" s="103">
        <v>12</v>
      </c>
      <c r="G148" s="103">
        <v>9</v>
      </c>
      <c r="H148" s="103"/>
      <c r="I148" s="103">
        <v>12</v>
      </c>
      <c r="J148" s="103">
        <v>12</v>
      </c>
      <c r="K148" s="103">
        <v>9</v>
      </c>
      <c r="L148" s="103"/>
      <c r="M148" s="103">
        <v>11</v>
      </c>
      <c r="N148" s="103"/>
      <c r="O148" s="103"/>
      <c r="P148" s="103"/>
      <c r="Q148" s="103"/>
      <c r="R148" s="103">
        <v>3</v>
      </c>
      <c r="S148" s="103">
        <v>1</v>
      </c>
      <c r="T148" s="103"/>
      <c r="U148" s="103"/>
      <c r="V148" s="97">
        <f t="shared" si="16"/>
        <v>3</v>
      </c>
      <c r="W148" s="97">
        <f t="shared" si="17"/>
        <v>1</v>
      </c>
      <c r="X148" s="97">
        <f t="shared" si="18"/>
        <v>0</v>
      </c>
      <c r="Y148" s="97">
        <f t="shared" si="19"/>
        <v>0</v>
      </c>
      <c r="Z148" s="96"/>
    </row>
    <row r="149" spans="1:26" ht="21.75" customHeight="1">
      <c r="A149" s="188"/>
      <c r="B149" s="186"/>
      <c r="C149" s="187"/>
      <c r="D149" s="115" t="s">
        <v>85</v>
      </c>
      <c r="E149" s="116" t="s">
        <v>45</v>
      </c>
      <c r="F149" s="103">
        <v>11</v>
      </c>
      <c r="G149" s="103">
        <v>10</v>
      </c>
      <c r="H149" s="103"/>
      <c r="I149" s="103">
        <v>12</v>
      </c>
      <c r="J149" s="103">
        <v>9</v>
      </c>
      <c r="K149" s="103">
        <v>8</v>
      </c>
      <c r="L149" s="103"/>
      <c r="M149" s="103">
        <v>10</v>
      </c>
      <c r="N149" s="103"/>
      <c r="O149" s="103">
        <v>1</v>
      </c>
      <c r="P149" s="103"/>
      <c r="Q149" s="103"/>
      <c r="R149" s="103">
        <v>3</v>
      </c>
      <c r="S149" s="103">
        <v>2</v>
      </c>
      <c r="T149" s="103"/>
      <c r="U149" s="103"/>
      <c r="V149" s="97">
        <f t="shared" si="16"/>
        <v>3</v>
      </c>
      <c r="W149" s="97">
        <f t="shared" si="17"/>
        <v>3</v>
      </c>
      <c r="X149" s="97">
        <f t="shared" si="18"/>
        <v>0</v>
      </c>
      <c r="Y149" s="97">
        <f t="shared" si="19"/>
        <v>0</v>
      </c>
      <c r="Z149" s="96"/>
    </row>
    <row r="150" spans="1:26" ht="21.75" customHeight="1">
      <c r="A150" s="188"/>
      <c r="B150" s="186"/>
      <c r="C150" s="187"/>
      <c r="D150" s="115" t="s">
        <v>87</v>
      </c>
      <c r="E150" s="116" t="s">
        <v>45</v>
      </c>
      <c r="F150" s="103">
        <v>11</v>
      </c>
      <c r="G150" s="103">
        <v>9</v>
      </c>
      <c r="H150" s="103"/>
      <c r="I150" s="103">
        <v>12</v>
      </c>
      <c r="J150" s="103">
        <v>10</v>
      </c>
      <c r="K150" s="103">
        <v>8</v>
      </c>
      <c r="L150" s="103"/>
      <c r="M150" s="103">
        <v>10</v>
      </c>
      <c r="N150" s="103"/>
      <c r="O150" s="103"/>
      <c r="P150" s="103"/>
      <c r="Q150" s="103"/>
      <c r="R150" s="103">
        <v>2</v>
      </c>
      <c r="S150" s="103"/>
      <c r="T150" s="103"/>
      <c r="U150" s="103"/>
      <c r="V150" s="97">
        <f t="shared" si="16"/>
        <v>2</v>
      </c>
      <c r="W150" s="97">
        <f t="shared" si="17"/>
        <v>0</v>
      </c>
      <c r="X150" s="97">
        <f t="shared" si="18"/>
        <v>0</v>
      </c>
      <c r="Y150" s="97">
        <f t="shared" si="19"/>
        <v>0</v>
      </c>
      <c r="Z150" s="96"/>
    </row>
    <row r="151" spans="1:26" ht="21.75" customHeight="1">
      <c r="A151" s="188"/>
      <c r="B151" s="186"/>
      <c r="C151" s="187"/>
      <c r="D151" s="115" t="s">
        <v>94</v>
      </c>
      <c r="E151" s="116" t="s">
        <v>181</v>
      </c>
      <c r="F151" s="103">
        <v>10</v>
      </c>
      <c r="G151" s="103">
        <v>7</v>
      </c>
      <c r="H151" s="103"/>
      <c r="I151" s="103">
        <v>10</v>
      </c>
      <c r="J151" s="103">
        <v>10</v>
      </c>
      <c r="K151" s="103">
        <v>7</v>
      </c>
      <c r="L151" s="103"/>
      <c r="M151" s="103">
        <v>10</v>
      </c>
      <c r="N151" s="103"/>
      <c r="O151" s="103"/>
      <c r="P151" s="103"/>
      <c r="Q151" s="103"/>
      <c r="R151" s="103">
        <v>5</v>
      </c>
      <c r="S151" s="103"/>
      <c r="T151" s="103"/>
      <c r="U151" s="103"/>
      <c r="V151" s="97">
        <f t="shared" si="16"/>
        <v>5</v>
      </c>
      <c r="W151" s="97">
        <f t="shared" si="17"/>
        <v>0</v>
      </c>
      <c r="X151" s="97">
        <f t="shared" si="18"/>
        <v>0</v>
      </c>
      <c r="Y151" s="97">
        <f t="shared" si="19"/>
        <v>0</v>
      </c>
      <c r="Z151" s="96"/>
    </row>
    <row r="152" spans="1:26" s="101" customFormat="1" ht="21" customHeight="1">
      <c r="A152" s="201"/>
      <c r="B152" s="202"/>
      <c r="C152" s="199" t="s">
        <v>366</v>
      </c>
      <c r="D152" s="200"/>
      <c r="E152" s="98"/>
      <c r="F152" s="99">
        <f t="shared" ref="F152:U152" si="20">SUM(F153:F165)</f>
        <v>149</v>
      </c>
      <c r="G152" s="99">
        <f t="shared" si="20"/>
        <v>153</v>
      </c>
      <c r="H152" s="99">
        <f t="shared" si="20"/>
        <v>0</v>
      </c>
      <c r="I152" s="99">
        <f t="shared" si="20"/>
        <v>191</v>
      </c>
      <c r="J152" s="99">
        <f t="shared" si="20"/>
        <v>142</v>
      </c>
      <c r="K152" s="99">
        <f t="shared" si="20"/>
        <v>151</v>
      </c>
      <c r="L152" s="99">
        <f t="shared" si="20"/>
        <v>0</v>
      </c>
      <c r="M152" s="99">
        <f t="shared" si="20"/>
        <v>163</v>
      </c>
      <c r="N152" s="99">
        <f t="shared" si="20"/>
        <v>1</v>
      </c>
      <c r="O152" s="99">
        <f t="shared" si="20"/>
        <v>3</v>
      </c>
      <c r="P152" s="99">
        <f t="shared" si="20"/>
        <v>0</v>
      </c>
      <c r="Q152" s="99">
        <f t="shared" si="20"/>
        <v>0</v>
      </c>
      <c r="R152" s="99">
        <f t="shared" si="20"/>
        <v>23</v>
      </c>
      <c r="S152" s="99">
        <f t="shared" si="20"/>
        <v>10</v>
      </c>
      <c r="T152" s="99">
        <f t="shared" si="20"/>
        <v>0</v>
      </c>
      <c r="U152" s="99">
        <f t="shared" si="20"/>
        <v>3</v>
      </c>
      <c r="V152" s="97">
        <f t="shared" si="16"/>
        <v>24</v>
      </c>
      <c r="W152" s="97">
        <f t="shared" si="17"/>
        <v>13</v>
      </c>
      <c r="X152" s="97">
        <f t="shared" si="18"/>
        <v>0</v>
      </c>
      <c r="Y152" s="97">
        <f t="shared" si="19"/>
        <v>3</v>
      </c>
      <c r="Z152" s="99"/>
    </row>
    <row r="153" spans="1:26" ht="16.5">
      <c r="A153" s="188">
        <v>37</v>
      </c>
      <c r="B153" s="186">
        <v>1</v>
      </c>
      <c r="C153" s="187" t="s">
        <v>367</v>
      </c>
      <c r="D153" s="117" t="s">
        <v>64</v>
      </c>
      <c r="E153" s="118" t="s">
        <v>22</v>
      </c>
      <c r="F153" s="103">
        <v>12</v>
      </c>
      <c r="G153" s="103">
        <v>12</v>
      </c>
      <c r="H153" s="103"/>
      <c r="I153" s="103">
        <v>16</v>
      </c>
      <c r="J153" s="103">
        <v>12</v>
      </c>
      <c r="K153" s="103">
        <v>12</v>
      </c>
      <c r="L153" s="103"/>
      <c r="M153" s="103">
        <v>11</v>
      </c>
      <c r="N153" s="103"/>
      <c r="O153" s="103"/>
      <c r="P153" s="103"/>
      <c r="Q153" s="103"/>
      <c r="R153" s="103">
        <v>1</v>
      </c>
      <c r="S153" s="103">
        <v>1</v>
      </c>
      <c r="T153" s="103"/>
      <c r="U153" s="103"/>
      <c r="V153" s="97">
        <f t="shared" si="16"/>
        <v>1</v>
      </c>
      <c r="W153" s="97">
        <f t="shared" si="17"/>
        <v>1</v>
      </c>
      <c r="X153" s="97">
        <f t="shared" si="18"/>
        <v>0</v>
      </c>
      <c r="Y153" s="97">
        <f t="shared" si="19"/>
        <v>0</v>
      </c>
      <c r="Z153" s="96" t="s">
        <v>368</v>
      </c>
    </row>
    <row r="154" spans="1:26" ht="16.5">
      <c r="A154" s="188"/>
      <c r="B154" s="186"/>
      <c r="C154" s="187"/>
      <c r="D154" s="117" t="s">
        <v>66</v>
      </c>
      <c r="E154" s="118" t="s">
        <v>22</v>
      </c>
      <c r="F154" s="103">
        <v>11</v>
      </c>
      <c r="G154" s="103">
        <v>13</v>
      </c>
      <c r="H154" s="103"/>
      <c r="I154" s="103">
        <v>16</v>
      </c>
      <c r="J154" s="103">
        <v>11</v>
      </c>
      <c r="K154" s="103">
        <v>13</v>
      </c>
      <c r="L154" s="103"/>
      <c r="M154" s="103">
        <v>12</v>
      </c>
      <c r="N154" s="103"/>
      <c r="O154" s="103"/>
      <c r="P154" s="103"/>
      <c r="Q154" s="103"/>
      <c r="R154" s="103">
        <v>1</v>
      </c>
      <c r="S154" s="103"/>
      <c r="T154" s="103"/>
      <c r="U154" s="103"/>
      <c r="V154" s="97">
        <f t="shared" si="16"/>
        <v>1</v>
      </c>
      <c r="W154" s="97">
        <f t="shared" si="17"/>
        <v>0</v>
      </c>
      <c r="X154" s="97">
        <f t="shared" si="18"/>
        <v>0</v>
      </c>
      <c r="Y154" s="97">
        <f t="shared" si="19"/>
        <v>0</v>
      </c>
      <c r="Z154" s="96"/>
    </row>
    <row r="155" spans="1:26" ht="16.5">
      <c r="A155" s="188">
        <v>38</v>
      </c>
      <c r="B155" s="186">
        <v>2</v>
      </c>
      <c r="C155" s="187" t="s">
        <v>244</v>
      </c>
      <c r="D155" s="117" t="s">
        <v>74</v>
      </c>
      <c r="E155" s="118" t="s">
        <v>22</v>
      </c>
      <c r="F155" s="103">
        <v>11</v>
      </c>
      <c r="G155" s="103">
        <v>13</v>
      </c>
      <c r="H155" s="103"/>
      <c r="I155" s="103">
        <v>16</v>
      </c>
      <c r="J155" s="103">
        <v>11</v>
      </c>
      <c r="K155" s="103">
        <v>13</v>
      </c>
      <c r="L155" s="103"/>
      <c r="M155" s="103">
        <v>16</v>
      </c>
      <c r="N155" s="103"/>
      <c r="O155" s="103"/>
      <c r="P155" s="103"/>
      <c r="Q155" s="103"/>
      <c r="R155" s="103"/>
      <c r="S155" s="103">
        <v>1</v>
      </c>
      <c r="T155" s="103"/>
      <c r="U155" s="103"/>
      <c r="V155" s="97">
        <f t="shared" si="16"/>
        <v>0</v>
      </c>
      <c r="W155" s="97">
        <f t="shared" si="17"/>
        <v>1</v>
      </c>
      <c r="X155" s="97">
        <f t="shared" si="18"/>
        <v>0</v>
      </c>
      <c r="Y155" s="97">
        <f t="shared" si="19"/>
        <v>0</v>
      </c>
      <c r="Z155" s="96"/>
    </row>
    <row r="156" spans="1:26" ht="16.5">
      <c r="A156" s="188"/>
      <c r="B156" s="186"/>
      <c r="C156" s="187"/>
      <c r="D156" s="117" t="s">
        <v>69</v>
      </c>
      <c r="E156" s="118" t="s">
        <v>45</v>
      </c>
      <c r="F156" s="103">
        <v>11</v>
      </c>
      <c r="G156" s="103">
        <v>10</v>
      </c>
      <c r="H156" s="103"/>
      <c r="I156" s="103">
        <v>13</v>
      </c>
      <c r="J156" s="103">
        <v>10</v>
      </c>
      <c r="K156" s="103">
        <v>10</v>
      </c>
      <c r="L156" s="103"/>
      <c r="M156" s="103">
        <v>10</v>
      </c>
      <c r="N156" s="103"/>
      <c r="O156" s="103"/>
      <c r="P156" s="103"/>
      <c r="Q156" s="103"/>
      <c r="R156" s="103">
        <v>2</v>
      </c>
      <c r="S156" s="103"/>
      <c r="T156" s="103"/>
      <c r="U156" s="103"/>
      <c r="V156" s="97">
        <f t="shared" si="16"/>
        <v>2</v>
      </c>
      <c r="W156" s="97">
        <f t="shared" si="17"/>
        <v>0</v>
      </c>
      <c r="X156" s="97">
        <f t="shared" si="18"/>
        <v>0</v>
      </c>
      <c r="Y156" s="97">
        <f t="shared" si="19"/>
        <v>0</v>
      </c>
      <c r="Z156" s="96"/>
    </row>
    <row r="157" spans="1:26" ht="16.5">
      <c r="A157" s="188">
        <v>39</v>
      </c>
      <c r="B157" s="186">
        <v>3</v>
      </c>
      <c r="C157" s="187" t="s">
        <v>245</v>
      </c>
      <c r="D157" s="117" t="s">
        <v>76</v>
      </c>
      <c r="E157" s="118" t="s">
        <v>22</v>
      </c>
      <c r="F157" s="103">
        <v>12</v>
      </c>
      <c r="G157" s="103">
        <v>12</v>
      </c>
      <c r="H157" s="103"/>
      <c r="I157" s="103">
        <v>16</v>
      </c>
      <c r="J157" s="103">
        <v>10</v>
      </c>
      <c r="K157" s="103">
        <v>12</v>
      </c>
      <c r="L157" s="103"/>
      <c r="M157" s="103">
        <v>10</v>
      </c>
      <c r="N157" s="103"/>
      <c r="O157" s="103"/>
      <c r="P157" s="103"/>
      <c r="Q157" s="103"/>
      <c r="R157" s="103">
        <v>3</v>
      </c>
      <c r="S157" s="103">
        <v>2</v>
      </c>
      <c r="T157" s="103"/>
      <c r="U157" s="103"/>
      <c r="V157" s="97">
        <f t="shared" si="16"/>
        <v>3</v>
      </c>
      <c r="W157" s="97">
        <f t="shared" si="17"/>
        <v>2</v>
      </c>
      <c r="X157" s="97">
        <f t="shared" si="18"/>
        <v>0</v>
      </c>
      <c r="Y157" s="97">
        <f t="shared" si="19"/>
        <v>0</v>
      </c>
      <c r="Z157" s="96"/>
    </row>
    <row r="158" spans="1:26" ht="16.5">
      <c r="A158" s="188"/>
      <c r="B158" s="186"/>
      <c r="C158" s="187"/>
      <c r="D158" s="117" t="s">
        <v>75</v>
      </c>
      <c r="E158" s="118" t="s">
        <v>22</v>
      </c>
      <c r="F158" s="103">
        <v>12</v>
      </c>
      <c r="G158" s="103">
        <v>12</v>
      </c>
      <c r="H158" s="103"/>
      <c r="I158" s="103">
        <v>16</v>
      </c>
      <c r="J158" s="103">
        <v>11</v>
      </c>
      <c r="K158" s="103">
        <v>12</v>
      </c>
      <c r="L158" s="103"/>
      <c r="M158" s="103">
        <v>10</v>
      </c>
      <c r="N158" s="103"/>
      <c r="O158" s="103"/>
      <c r="P158" s="103"/>
      <c r="Q158" s="103"/>
      <c r="R158" s="103">
        <v>4</v>
      </c>
      <c r="S158" s="103">
        <v>1</v>
      </c>
      <c r="T158" s="103"/>
      <c r="U158" s="103"/>
      <c r="V158" s="97">
        <f t="shared" si="16"/>
        <v>4</v>
      </c>
      <c r="W158" s="97">
        <f t="shared" si="17"/>
        <v>1</v>
      </c>
      <c r="X158" s="97">
        <f t="shared" si="18"/>
        <v>0</v>
      </c>
      <c r="Y158" s="97">
        <f t="shared" si="19"/>
        <v>0</v>
      </c>
      <c r="Z158" s="96"/>
    </row>
    <row r="159" spans="1:26" ht="16.5">
      <c r="A159" s="188"/>
      <c r="B159" s="186"/>
      <c r="C159" s="187"/>
      <c r="D159" s="117" t="s">
        <v>73</v>
      </c>
      <c r="E159" s="118" t="s">
        <v>45</v>
      </c>
      <c r="F159" s="103">
        <v>11</v>
      </c>
      <c r="G159" s="103">
        <v>10</v>
      </c>
      <c r="H159" s="103"/>
      <c r="I159" s="103">
        <v>13</v>
      </c>
      <c r="J159" s="103">
        <v>11</v>
      </c>
      <c r="K159" s="103">
        <v>9</v>
      </c>
      <c r="L159" s="103"/>
      <c r="M159" s="103">
        <v>11</v>
      </c>
      <c r="N159" s="103"/>
      <c r="O159" s="103">
        <v>1</v>
      </c>
      <c r="P159" s="103"/>
      <c r="Q159" s="103"/>
      <c r="R159" s="103"/>
      <c r="S159" s="103"/>
      <c r="T159" s="103"/>
      <c r="U159" s="103"/>
      <c r="V159" s="97">
        <f t="shared" si="16"/>
        <v>0</v>
      </c>
      <c r="W159" s="97">
        <f t="shared" si="17"/>
        <v>1</v>
      </c>
      <c r="X159" s="97">
        <f t="shared" si="18"/>
        <v>0</v>
      </c>
      <c r="Y159" s="97">
        <f t="shared" si="19"/>
        <v>0</v>
      </c>
      <c r="Z159" s="96"/>
    </row>
    <row r="160" spans="1:26" ht="16.5">
      <c r="A160" s="188"/>
      <c r="B160" s="186"/>
      <c r="C160" s="187"/>
      <c r="D160" s="117" t="s">
        <v>72</v>
      </c>
      <c r="E160" s="118" t="s">
        <v>45</v>
      </c>
      <c r="F160" s="103">
        <v>10</v>
      </c>
      <c r="G160" s="103">
        <v>11</v>
      </c>
      <c r="H160" s="103"/>
      <c r="I160" s="103">
        <v>13</v>
      </c>
      <c r="J160" s="103">
        <v>10</v>
      </c>
      <c r="K160" s="103">
        <v>11</v>
      </c>
      <c r="L160" s="103"/>
      <c r="M160" s="103">
        <v>10</v>
      </c>
      <c r="N160" s="103"/>
      <c r="O160" s="103"/>
      <c r="P160" s="103"/>
      <c r="Q160" s="103"/>
      <c r="R160" s="103">
        <v>2</v>
      </c>
      <c r="S160" s="103"/>
      <c r="T160" s="103"/>
      <c r="U160" s="103"/>
      <c r="V160" s="97">
        <f t="shared" si="16"/>
        <v>2</v>
      </c>
      <c r="W160" s="97">
        <f t="shared" si="17"/>
        <v>0</v>
      </c>
      <c r="X160" s="97">
        <f t="shared" si="18"/>
        <v>0</v>
      </c>
      <c r="Y160" s="97">
        <f t="shared" si="19"/>
        <v>0</v>
      </c>
      <c r="Z160" s="96"/>
    </row>
    <row r="161" spans="1:26" ht="16.5">
      <c r="A161" s="188">
        <v>40</v>
      </c>
      <c r="B161" s="186">
        <v>4</v>
      </c>
      <c r="C161" s="187" t="s">
        <v>369</v>
      </c>
      <c r="D161" s="117" t="s">
        <v>70</v>
      </c>
      <c r="E161" s="118" t="s">
        <v>45</v>
      </c>
      <c r="F161" s="103">
        <v>11</v>
      </c>
      <c r="G161" s="103">
        <v>10</v>
      </c>
      <c r="H161" s="103"/>
      <c r="I161" s="103">
        <v>13</v>
      </c>
      <c r="J161" s="103">
        <v>10</v>
      </c>
      <c r="K161" s="103">
        <v>10</v>
      </c>
      <c r="L161" s="103"/>
      <c r="M161" s="103">
        <v>12</v>
      </c>
      <c r="N161" s="103"/>
      <c r="O161" s="103"/>
      <c r="P161" s="103"/>
      <c r="Q161" s="103"/>
      <c r="R161" s="103">
        <v>3</v>
      </c>
      <c r="S161" s="103">
        <v>1</v>
      </c>
      <c r="T161" s="103"/>
      <c r="U161" s="103"/>
      <c r="V161" s="97">
        <f t="shared" si="16"/>
        <v>3</v>
      </c>
      <c r="W161" s="97">
        <f t="shared" si="17"/>
        <v>1</v>
      </c>
      <c r="X161" s="97">
        <f t="shared" si="18"/>
        <v>0</v>
      </c>
      <c r="Y161" s="97">
        <f t="shared" si="19"/>
        <v>0</v>
      </c>
      <c r="Z161" s="96"/>
    </row>
    <row r="162" spans="1:26" ht="16.5">
      <c r="A162" s="188"/>
      <c r="B162" s="186"/>
      <c r="C162" s="187"/>
      <c r="D162" s="117" t="s">
        <v>71</v>
      </c>
      <c r="E162" s="118" t="s">
        <v>45</v>
      </c>
      <c r="F162" s="103">
        <v>10</v>
      </c>
      <c r="G162" s="103">
        <v>11</v>
      </c>
      <c r="H162" s="103"/>
      <c r="I162" s="103">
        <v>13</v>
      </c>
      <c r="J162" s="103">
        <v>9</v>
      </c>
      <c r="K162" s="103">
        <v>11</v>
      </c>
      <c r="L162" s="103"/>
      <c r="M162" s="103">
        <v>13</v>
      </c>
      <c r="N162" s="103"/>
      <c r="O162" s="103">
        <v>1</v>
      </c>
      <c r="P162" s="103"/>
      <c r="Q162" s="103"/>
      <c r="R162" s="103"/>
      <c r="S162" s="103"/>
      <c r="T162" s="103"/>
      <c r="U162" s="103"/>
      <c r="V162" s="97">
        <f t="shared" si="16"/>
        <v>0</v>
      </c>
      <c r="W162" s="97">
        <f t="shared" si="17"/>
        <v>1</v>
      </c>
      <c r="X162" s="97">
        <f t="shared" si="18"/>
        <v>0</v>
      </c>
      <c r="Y162" s="97">
        <f t="shared" si="19"/>
        <v>0</v>
      </c>
      <c r="Z162" s="96"/>
    </row>
    <row r="163" spans="1:26" ht="16.5">
      <c r="A163" s="188"/>
      <c r="B163" s="186"/>
      <c r="C163" s="187"/>
      <c r="D163" s="117" t="s">
        <v>67</v>
      </c>
      <c r="E163" s="118" t="s">
        <v>45</v>
      </c>
      <c r="F163" s="103">
        <v>11</v>
      </c>
      <c r="G163" s="103">
        <v>10</v>
      </c>
      <c r="H163" s="103"/>
      <c r="I163" s="103">
        <v>13</v>
      </c>
      <c r="J163" s="103">
        <v>10</v>
      </c>
      <c r="K163" s="103">
        <v>10</v>
      </c>
      <c r="L163" s="103"/>
      <c r="M163" s="103">
        <v>11</v>
      </c>
      <c r="N163" s="103">
        <v>1</v>
      </c>
      <c r="O163" s="103"/>
      <c r="P163" s="103"/>
      <c r="Q163" s="103"/>
      <c r="R163" s="103">
        <v>2</v>
      </c>
      <c r="S163" s="103"/>
      <c r="T163" s="103"/>
      <c r="U163" s="103"/>
      <c r="V163" s="97">
        <f t="shared" si="16"/>
        <v>3</v>
      </c>
      <c r="W163" s="97">
        <f t="shared" si="17"/>
        <v>0</v>
      </c>
      <c r="X163" s="97">
        <f t="shared" si="18"/>
        <v>0</v>
      </c>
      <c r="Y163" s="97">
        <f t="shared" si="19"/>
        <v>0</v>
      </c>
      <c r="Z163" s="96"/>
    </row>
    <row r="164" spans="1:26" ht="16.5">
      <c r="A164" s="188"/>
      <c r="B164" s="186"/>
      <c r="C164" s="187"/>
      <c r="D164" s="117" t="s">
        <v>63</v>
      </c>
      <c r="E164" s="118" t="s">
        <v>22</v>
      </c>
      <c r="F164" s="103">
        <v>10</v>
      </c>
      <c r="G164" s="103">
        <v>14</v>
      </c>
      <c r="H164" s="103"/>
      <c r="I164" s="103">
        <v>15</v>
      </c>
      <c r="J164" s="103">
        <v>10</v>
      </c>
      <c r="K164" s="103">
        <v>13</v>
      </c>
      <c r="L164" s="103"/>
      <c r="M164" s="103">
        <v>8</v>
      </c>
      <c r="N164" s="103"/>
      <c r="O164" s="103">
        <v>1</v>
      </c>
      <c r="P164" s="103"/>
      <c r="Q164" s="103"/>
      <c r="R164" s="103"/>
      <c r="S164" s="103">
        <v>1</v>
      </c>
      <c r="T164" s="103"/>
      <c r="U164" s="103"/>
      <c r="V164" s="97">
        <f t="shared" si="16"/>
        <v>0</v>
      </c>
      <c r="W164" s="97">
        <f t="shared" si="17"/>
        <v>2</v>
      </c>
      <c r="X164" s="97">
        <f t="shared" si="18"/>
        <v>0</v>
      </c>
      <c r="Y164" s="97">
        <f t="shared" si="19"/>
        <v>0</v>
      </c>
      <c r="Z164" s="96"/>
    </row>
    <row r="165" spans="1:26" ht="23.25" customHeight="1">
      <c r="A165" s="114">
        <v>41</v>
      </c>
      <c r="B165" s="112">
        <v>5</v>
      </c>
      <c r="C165" s="113" t="s">
        <v>68</v>
      </c>
      <c r="D165" s="117" t="s">
        <v>68</v>
      </c>
      <c r="E165" s="118" t="s">
        <v>45</v>
      </c>
      <c r="F165" s="103">
        <v>17</v>
      </c>
      <c r="G165" s="103">
        <v>15</v>
      </c>
      <c r="H165" s="103"/>
      <c r="I165" s="103">
        <v>18</v>
      </c>
      <c r="J165" s="103">
        <v>17</v>
      </c>
      <c r="K165" s="103">
        <v>15</v>
      </c>
      <c r="L165" s="103"/>
      <c r="M165" s="103">
        <v>29</v>
      </c>
      <c r="N165" s="103"/>
      <c r="O165" s="103"/>
      <c r="P165" s="103"/>
      <c r="Q165" s="103"/>
      <c r="R165" s="103">
        <v>5</v>
      </c>
      <c r="S165" s="103">
        <v>3</v>
      </c>
      <c r="T165" s="103"/>
      <c r="U165" s="103">
        <v>3</v>
      </c>
      <c r="V165" s="97">
        <f t="shared" si="16"/>
        <v>5</v>
      </c>
      <c r="W165" s="97">
        <f t="shared" si="17"/>
        <v>3</v>
      </c>
      <c r="X165" s="97">
        <f t="shared" si="18"/>
        <v>0</v>
      </c>
      <c r="Y165" s="97">
        <f t="shared" si="19"/>
        <v>3</v>
      </c>
      <c r="Z165" s="96"/>
    </row>
    <row r="166" spans="1:26" s="151" customFormat="1" ht="20.25" customHeight="1">
      <c r="A166" s="186" t="s">
        <v>404</v>
      </c>
      <c r="B166" s="186"/>
      <c r="C166" s="210" t="s">
        <v>401</v>
      </c>
      <c r="D166" s="210"/>
      <c r="E166" s="102"/>
      <c r="F166" s="99">
        <f>SUM(F167:F174)</f>
        <v>46</v>
      </c>
      <c r="G166" s="99">
        <f t="shared" ref="G166:Y166" si="21">SUM(G167:G174)</f>
        <v>609</v>
      </c>
      <c r="H166" s="99">
        <f t="shared" si="21"/>
        <v>0</v>
      </c>
      <c r="I166" s="99">
        <f t="shared" si="21"/>
        <v>0</v>
      </c>
      <c r="J166" s="99">
        <f t="shared" si="21"/>
        <v>46</v>
      </c>
      <c r="K166" s="99">
        <f t="shared" si="21"/>
        <v>580</v>
      </c>
      <c r="L166" s="99">
        <f t="shared" si="21"/>
        <v>0</v>
      </c>
      <c r="M166" s="99">
        <f t="shared" si="21"/>
        <v>0</v>
      </c>
      <c r="N166" s="99">
        <f t="shared" si="21"/>
        <v>7</v>
      </c>
      <c r="O166" s="99">
        <f t="shared" si="21"/>
        <v>17</v>
      </c>
      <c r="P166" s="99">
        <f t="shared" si="21"/>
        <v>336</v>
      </c>
      <c r="Q166" s="99">
        <f t="shared" si="21"/>
        <v>0</v>
      </c>
      <c r="R166" s="99">
        <f t="shared" si="21"/>
        <v>4</v>
      </c>
      <c r="S166" s="99">
        <f t="shared" si="21"/>
        <v>28</v>
      </c>
      <c r="T166" s="99">
        <f t="shared" si="21"/>
        <v>673</v>
      </c>
      <c r="U166" s="99">
        <f t="shared" si="21"/>
        <v>0</v>
      </c>
      <c r="V166" s="99">
        <f t="shared" si="21"/>
        <v>11</v>
      </c>
      <c r="W166" s="99">
        <f t="shared" si="21"/>
        <v>45</v>
      </c>
      <c r="X166" s="99">
        <f t="shared" si="21"/>
        <v>0</v>
      </c>
      <c r="Y166" s="99">
        <f t="shared" si="21"/>
        <v>0</v>
      </c>
      <c r="Z166" s="156"/>
    </row>
    <row r="167" spans="1:26" s="101" customFormat="1" ht="22.5" customHeight="1">
      <c r="A167" s="193"/>
      <c r="B167" s="195"/>
      <c r="C167" s="211" t="s">
        <v>405</v>
      </c>
      <c r="D167" s="26" t="s">
        <v>327</v>
      </c>
      <c r="E167" s="150"/>
      <c r="F167" s="24">
        <v>7</v>
      </c>
      <c r="G167" s="24">
        <v>82</v>
      </c>
      <c r="H167" s="24"/>
      <c r="I167" s="24"/>
      <c r="J167" s="24">
        <v>7</v>
      </c>
      <c r="K167" s="24">
        <v>79</v>
      </c>
      <c r="L167" s="24"/>
      <c r="M167" s="8"/>
      <c r="N167" s="24">
        <v>1</v>
      </c>
      <c r="O167" s="24"/>
      <c r="P167" s="24">
        <v>36</v>
      </c>
      <c r="Q167" s="8"/>
      <c r="R167" s="24">
        <v>1</v>
      </c>
      <c r="S167" s="24">
        <v>2</v>
      </c>
      <c r="T167" s="24">
        <v>79</v>
      </c>
      <c r="U167" s="8"/>
      <c r="V167" s="97">
        <f t="shared" ref="V167:W174" si="22">N167+R167</f>
        <v>2</v>
      </c>
      <c r="W167" s="97">
        <f t="shared" si="22"/>
        <v>2</v>
      </c>
      <c r="X167" s="97"/>
      <c r="Y167" s="97"/>
      <c r="Z167" s="153"/>
    </row>
    <row r="168" spans="1:26" ht="15.5">
      <c r="A168" s="214"/>
      <c r="B168" s="215"/>
      <c r="C168" s="212"/>
      <c r="D168" s="26" t="s">
        <v>206</v>
      </c>
      <c r="E168" s="154"/>
      <c r="F168" s="24">
        <v>5</v>
      </c>
      <c r="G168" s="24">
        <v>76</v>
      </c>
      <c r="H168" s="24"/>
      <c r="I168" s="24"/>
      <c r="J168" s="24">
        <v>5</v>
      </c>
      <c r="K168" s="24">
        <v>71</v>
      </c>
      <c r="L168" s="24"/>
      <c r="M168" s="24"/>
      <c r="N168" s="24">
        <v>1</v>
      </c>
      <c r="O168" s="24">
        <v>1</v>
      </c>
      <c r="P168" s="24">
        <v>40</v>
      </c>
      <c r="Q168" s="24"/>
      <c r="R168" s="24"/>
      <c r="S168" s="24">
        <v>6</v>
      </c>
      <c r="T168" s="24">
        <v>52</v>
      </c>
      <c r="U168" s="24"/>
      <c r="V168" s="97">
        <f t="shared" si="22"/>
        <v>1</v>
      </c>
      <c r="W168" s="97">
        <f t="shared" si="22"/>
        <v>7</v>
      </c>
      <c r="X168" s="97"/>
      <c r="Y168" s="97"/>
      <c r="Z168" s="155"/>
    </row>
    <row r="169" spans="1:26" ht="15.5">
      <c r="A169" s="214"/>
      <c r="B169" s="215"/>
      <c r="C169" s="212"/>
      <c r="D169" s="26" t="s">
        <v>23</v>
      </c>
      <c r="E169" s="150"/>
      <c r="F169" s="24">
        <v>5</v>
      </c>
      <c r="G169" s="24">
        <v>81</v>
      </c>
      <c r="H169" s="24"/>
      <c r="I169" s="24"/>
      <c r="J169" s="24">
        <v>5</v>
      </c>
      <c r="K169" s="24">
        <v>73</v>
      </c>
      <c r="L169" s="24"/>
      <c r="M169" s="24"/>
      <c r="N169" s="24"/>
      <c r="O169" s="24">
        <v>0</v>
      </c>
      <c r="P169" s="24">
        <v>56</v>
      </c>
      <c r="Q169" s="24"/>
      <c r="R169" s="24">
        <v>1</v>
      </c>
      <c r="S169" s="24">
        <v>5</v>
      </c>
      <c r="T169" s="24">
        <v>63</v>
      </c>
      <c r="U169" s="24"/>
      <c r="V169" s="97">
        <f t="shared" si="22"/>
        <v>1</v>
      </c>
      <c r="W169" s="97">
        <f t="shared" si="22"/>
        <v>5</v>
      </c>
      <c r="X169" s="97"/>
      <c r="Y169" s="97"/>
      <c r="Z169" s="155"/>
    </row>
    <row r="170" spans="1:26" s="101" customFormat="1" ht="15.5">
      <c r="A170" s="214"/>
      <c r="B170" s="215"/>
      <c r="C170" s="212"/>
      <c r="D170" s="26" t="s">
        <v>197</v>
      </c>
      <c r="E170" s="150"/>
      <c r="F170" s="24">
        <v>5</v>
      </c>
      <c r="G170" s="24">
        <v>83</v>
      </c>
      <c r="H170" s="24"/>
      <c r="I170" s="24"/>
      <c r="J170" s="24">
        <v>5</v>
      </c>
      <c r="K170" s="24">
        <v>76</v>
      </c>
      <c r="L170" s="24"/>
      <c r="M170" s="8"/>
      <c r="N170" s="24">
        <v>2</v>
      </c>
      <c r="O170" s="24">
        <v>2</v>
      </c>
      <c r="P170" s="24">
        <v>50</v>
      </c>
      <c r="Q170" s="8"/>
      <c r="R170" s="8"/>
      <c r="S170" s="8">
        <v>4</v>
      </c>
      <c r="T170" s="8">
        <v>224</v>
      </c>
      <c r="U170" s="8"/>
      <c r="V170" s="97">
        <f t="shared" si="22"/>
        <v>2</v>
      </c>
      <c r="W170" s="97">
        <f t="shared" si="22"/>
        <v>6</v>
      </c>
      <c r="X170" s="97"/>
      <c r="Y170" s="97"/>
      <c r="Z170" s="153"/>
    </row>
    <row r="171" spans="1:26" s="101" customFormat="1" ht="15.5">
      <c r="A171" s="214"/>
      <c r="B171" s="215"/>
      <c r="C171" s="212"/>
      <c r="D171" s="26" t="s">
        <v>195</v>
      </c>
      <c r="E171" s="150"/>
      <c r="F171" s="24">
        <v>6</v>
      </c>
      <c r="G171" s="24">
        <v>74</v>
      </c>
      <c r="H171" s="24"/>
      <c r="I171" s="24"/>
      <c r="J171" s="24">
        <v>6</v>
      </c>
      <c r="K171" s="24">
        <v>68</v>
      </c>
      <c r="L171" s="24"/>
      <c r="M171" s="8"/>
      <c r="N171" s="8"/>
      <c r="O171" s="24">
        <v>1</v>
      </c>
      <c r="P171" s="24">
        <v>21</v>
      </c>
      <c r="Q171" s="8"/>
      <c r="R171" s="8"/>
      <c r="S171" s="8">
        <v>4</v>
      </c>
      <c r="T171" s="8">
        <v>70</v>
      </c>
      <c r="U171" s="8"/>
      <c r="V171" s="97">
        <f t="shared" si="22"/>
        <v>0</v>
      </c>
      <c r="W171" s="97">
        <f t="shared" si="22"/>
        <v>5</v>
      </c>
      <c r="X171" s="97"/>
      <c r="Y171" s="97"/>
      <c r="Z171" s="153"/>
    </row>
    <row r="172" spans="1:26" s="101" customFormat="1" ht="15.5">
      <c r="A172" s="214"/>
      <c r="B172" s="215"/>
      <c r="C172" s="212"/>
      <c r="D172" s="26" t="s">
        <v>46</v>
      </c>
      <c r="E172" s="150"/>
      <c r="F172" s="24">
        <v>6</v>
      </c>
      <c r="G172" s="24">
        <v>72</v>
      </c>
      <c r="H172" s="24"/>
      <c r="I172" s="8"/>
      <c r="J172" s="24">
        <v>6</v>
      </c>
      <c r="K172" s="24">
        <v>72</v>
      </c>
      <c r="L172" s="24"/>
      <c r="M172" s="8"/>
      <c r="N172" s="8"/>
      <c r="O172" s="24">
        <v>3</v>
      </c>
      <c r="P172" s="24">
        <v>29</v>
      </c>
      <c r="Q172" s="8"/>
      <c r="R172" s="8"/>
      <c r="S172" s="24">
        <v>2</v>
      </c>
      <c r="T172" s="24">
        <v>42</v>
      </c>
      <c r="U172" s="8"/>
      <c r="V172" s="97">
        <f t="shared" si="22"/>
        <v>0</v>
      </c>
      <c r="W172" s="97">
        <f t="shared" si="22"/>
        <v>5</v>
      </c>
      <c r="X172" s="97"/>
      <c r="Y172" s="97"/>
      <c r="Z172" s="153"/>
    </row>
    <row r="173" spans="1:26" s="101" customFormat="1" ht="15.5">
      <c r="A173" s="214"/>
      <c r="B173" s="215"/>
      <c r="C173" s="212"/>
      <c r="D173" s="26" t="s">
        <v>354</v>
      </c>
      <c r="E173" s="150"/>
      <c r="F173" s="24">
        <v>6</v>
      </c>
      <c r="G173" s="24">
        <v>66</v>
      </c>
      <c r="H173" s="24"/>
      <c r="I173" s="8"/>
      <c r="J173" s="24">
        <v>6</v>
      </c>
      <c r="K173" s="24">
        <v>66</v>
      </c>
      <c r="L173" s="24"/>
      <c r="M173" s="8"/>
      <c r="N173" s="24">
        <v>2</v>
      </c>
      <c r="O173" s="24">
        <v>7</v>
      </c>
      <c r="P173" s="24">
        <v>40</v>
      </c>
      <c r="Q173" s="24"/>
      <c r="R173" s="24">
        <v>2</v>
      </c>
      <c r="S173" s="24">
        <v>2</v>
      </c>
      <c r="T173" s="24">
        <v>101</v>
      </c>
      <c r="U173" s="8"/>
      <c r="V173" s="97">
        <f t="shared" si="22"/>
        <v>4</v>
      </c>
      <c r="W173" s="97">
        <f t="shared" si="22"/>
        <v>9</v>
      </c>
      <c r="X173" s="97"/>
      <c r="Y173" s="97"/>
      <c r="Z173" s="153"/>
    </row>
    <row r="174" spans="1:26" s="101" customFormat="1" ht="15.5">
      <c r="A174" s="196"/>
      <c r="B174" s="198"/>
      <c r="C174" s="213"/>
      <c r="D174" s="26" t="s">
        <v>366</v>
      </c>
      <c r="E174" s="150"/>
      <c r="F174" s="24">
        <v>6</v>
      </c>
      <c r="G174" s="24">
        <v>75</v>
      </c>
      <c r="H174" s="24"/>
      <c r="I174" s="24"/>
      <c r="J174" s="24">
        <v>6</v>
      </c>
      <c r="K174" s="24">
        <v>75</v>
      </c>
      <c r="L174" s="24"/>
      <c r="M174" s="8"/>
      <c r="N174" s="24">
        <v>1</v>
      </c>
      <c r="O174" s="24">
        <v>3</v>
      </c>
      <c r="P174" s="24">
        <v>64</v>
      </c>
      <c r="Q174" s="8"/>
      <c r="R174" s="8"/>
      <c r="S174" s="24">
        <v>3</v>
      </c>
      <c r="T174" s="24">
        <v>42</v>
      </c>
      <c r="U174" s="8"/>
      <c r="V174" s="97">
        <f t="shared" si="22"/>
        <v>1</v>
      </c>
      <c r="W174" s="97">
        <f t="shared" si="22"/>
        <v>6</v>
      </c>
      <c r="X174" s="97"/>
      <c r="Y174" s="97"/>
      <c r="Z174" s="153"/>
    </row>
    <row r="175" spans="1:26" s="151" customFormat="1" ht="24" customHeight="1">
      <c r="A175" s="186" t="s">
        <v>407</v>
      </c>
      <c r="B175" s="186"/>
      <c r="C175" s="187" t="s">
        <v>406</v>
      </c>
      <c r="D175" s="187"/>
      <c r="E175" s="102"/>
      <c r="F175" s="8">
        <f>F10+F166</f>
        <v>1636</v>
      </c>
      <c r="G175" s="8">
        <f t="shared" ref="G175:Y175" si="23">G10+G166</f>
        <v>2125</v>
      </c>
      <c r="H175" s="8">
        <f t="shared" si="23"/>
        <v>0</v>
      </c>
      <c r="I175" s="8">
        <f t="shared" si="23"/>
        <v>1889</v>
      </c>
      <c r="J175" s="8">
        <f t="shared" si="23"/>
        <v>1561</v>
      </c>
      <c r="K175" s="8">
        <f t="shared" si="23"/>
        <v>1946</v>
      </c>
      <c r="L175" s="8">
        <f t="shared" si="23"/>
        <v>0</v>
      </c>
      <c r="M175" s="8">
        <f t="shared" si="23"/>
        <v>1588</v>
      </c>
      <c r="N175" s="8">
        <f t="shared" si="23"/>
        <v>29</v>
      </c>
      <c r="O175" s="8">
        <f t="shared" si="23"/>
        <v>39</v>
      </c>
      <c r="P175" s="8">
        <f t="shared" si="23"/>
        <v>336</v>
      </c>
      <c r="Q175" s="8">
        <f t="shared" si="23"/>
        <v>0</v>
      </c>
      <c r="R175" s="8">
        <f t="shared" si="23"/>
        <v>337</v>
      </c>
      <c r="S175" s="8">
        <f t="shared" si="23"/>
        <v>208</v>
      </c>
      <c r="T175" s="8">
        <f t="shared" si="23"/>
        <v>673</v>
      </c>
      <c r="U175" s="8">
        <f t="shared" si="23"/>
        <v>3</v>
      </c>
      <c r="V175" s="8">
        <f t="shared" si="23"/>
        <v>366</v>
      </c>
      <c r="W175" s="8">
        <f t="shared" si="23"/>
        <v>247</v>
      </c>
      <c r="X175" s="8">
        <f t="shared" si="23"/>
        <v>0</v>
      </c>
      <c r="Y175" s="8">
        <f t="shared" si="23"/>
        <v>3</v>
      </c>
      <c r="Z175" s="152"/>
    </row>
  </sheetData>
  <mergeCells count="165">
    <mergeCell ref="A166:B166"/>
    <mergeCell ref="C166:D166"/>
    <mergeCell ref="C167:C174"/>
    <mergeCell ref="A167:B174"/>
    <mergeCell ref="C175:D175"/>
    <mergeCell ref="A175:B175"/>
    <mergeCell ref="C69:D69"/>
    <mergeCell ref="A69:B69"/>
    <mergeCell ref="C53:D53"/>
    <mergeCell ref="A53:B53"/>
    <mergeCell ref="A129:A131"/>
    <mergeCell ref="B129:B131"/>
    <mergeCell ref="C129:C131"/>
    <mergeCell ref="A115:A118"/>
    <mergeCell ref="B115:B118"/>
    <mergeCell ref="C115:C118"/>
    <mergeCell ref="A119:A123"/>
    <mergeCell ref="B119:B123"/>
    <mergeCell ref="C119:C123"/>
    <mergeCell ref="A106:A108"/>
    <mergeCell ref="B106:B108"/>
    <mergeCell ref="C106:C108"/>
    <mergeCell ref="A109:A112"/>
    <mergeCell ref="B109:B112"/>
    <mergeCell ref="A113:B113"/>
    <mergeCell ref="C132:D132"/>
    <mergeCell ref="C152:D152"/>
    <mergeCell ref="C113:D113"/>
    <mergeCell ref="A132:B132"/>
    <mergeCell ref="A152:B152"/>
    <mergeCell ref="C96:D96"/>
    <mergeCell ref="A96:B96"/>
    <mergeCell ref="C142:C144"/>
    <mergeCell ref="A133:A134"/>
    <mergeCell ref="B133:B134"/>
    <mergeCell ref="C133:C134"/>
    <mergeCell ref="A135:A136"/>
    <mergeCell ref="B135:B136"/>
    <mergeCell ref="C135:C136"/>
    <mergeCell ref="A125:A128"/>
    <mergeCell ref="B125:B128"/>
    <mergeCell ref="C125:C128"/>
    <mergeCell ref="C109:C112"/>
    <mergeCell ref="A100:A102"/>
    <mergeCell ref="Y1:Z1"/>
    <mergeCell ref="A157:A160"/>
    <mergeCell ref="B157:B160"/>
    <mergeCell ref="C157:C160"/>
    <mergeCell ref="A161:A164"/>
    <mergeCell ref="B161:B164"/>
    <mergeCell ref="C161:C164"/>
    <mergeCell ref="A153:A154"/>
    <mergeCell ref="B153:B154"/>
    <mergeCell ref="C153:C154"/>
    <mergeCell ref="A155:A156"/>
    <mergeCell ref="B155:B156"/>
    <mergeCell ref="C155:C156"/>
    <mergeCell ref="A145:A147"/>
    <mergeCell ref="B145:B147"/>
    <mergeCell ref="C145:C147"/>
    <mergeCell ref="A148:A151"/>
    <mergeCell ref="B148:B151"/>
    <mergeCell ref="C148:C151"/>
    <mergeCell ref="A137:A141"/>
    <mergeCell ref="B137:B141"/>
    <mergeCell ref="C137:C141"/>
    <mergeCell ref="A142:A144"/>
    <mergeCell ref="B142:B144"/>
    <mergeCell ref="B100:B102"/>
    <mergeCell ref="C100:C102"/>
    <mergeCell ref="A103:A105"/>
    <mergeCell ref="B103:B105"/>
    <mergeCell ref="C103:C105"/>
    <mergeCell ref="A93:A95"/>
    <mergeCell ref="B93:B95"/>
    <mergeCell ref="C93:C95"/>
    <mergeCell ref="A97:A99"/>
    <mergeCell ref="B97:B99"/>
    <mergeCell ref="C97:C99"/>
    <mergeCell ref="A84:A88"/>
    <mergeCell ref="B84:B88"/>
    <mergeCell ref="C84:C88"/>
    <mergeCell ref="A89:A92"/>
    <mergeCell ref="B89:B92"/>
    <mergeCell ref="C89:C92"/>
    <mergeCell ref="A76:A79"/>
    <mergeCell ref="B76:B79"/>
    <mergeCell ref="C76:C79"/>
    <mergeCell ref="A80:A83"/>
    <mergeCell ref="B80:B83"/>
    <mergeCell ref="C80:C83"/>
    <mergeCell ref="A70:A71"/>
    <mergeCell ref="B70:B71"/>
    <mergeCell ref="C70:C71"/>
    <mergeCell ref="A72:A75"/>
    <mergeCell ref="B72:B75"/>
    <mergeCell ref="C72:C75"/>
    <mergeCell ref="A62:A64"/>
    <mergeCell ref="B62:B64"/>
    <mergeCell ref="C62:C64"/>
    <mergeCell ref="A65:A68"/>
    <mergeCell ref="B65:B68"/>
    <mergeCell ref="C65:C68"/>
    <mergeCell ref="A25:A28"/>
    <mergeCell ref="B25:B28"/>
    <mergeCell ref="C25:C28"/>
    <mergeCell ref="A51:A52"/>
    <mergeCell ref="B51:B52"/>
    <mergeCell ref="C51:C52"/>
    <mergeCell ref="A54:A61"/>
    <mergeCell ref="B54:B61"/>
    <mergeCell ref="C54:C61"/>
    <mergeCell ref="A47:A50"/>
    <mergeCell ref="B47:B50"/>
    <mergeCell ref="C47:C50"/>
    <mergeCell ref="C38:D38"/>
    <mergeCell ref="A38:B38"/>
    <mergeCell ref="A43:A46"/>
    <mergeCell ref="B43:B46"/>
    <mergeCell ref="C43:C46"/>
    <mergeCell ref="A29:A31"/>
    <mergeCell ref="B29:B31"/>
    <mergeCell ref="C29:C31"/>
    <mergeCell ref="A32:A34"/>
    <mergeCell ref="B32:B34"/>
    <mergeCell ref="C32:C34"/>
    <mergeCell ref="A35:A37"/>
    <mergeCell ref="L8:L9"/>
    <mergeCell ref="A12:A17"/>
    <mergeCell ref="B12:B17"/>
    <mergeCell ref="C12:C17"/>
    <mergeCell ref="A18:A21"/>
    <mergeCell ref="B18:B21"/>
    <mergeCell ref="C18:C21"/>
    <mergeCell ref="A22:A24"/>
    <mergeCell ref="B22:B24"/>
    <mergeCell ref="C22:C24"/>
    <mergeCell ref="C11:D11"/>
    <mergeCell ref="A11:B11"/>
    <mergeCell ref="A10:B10"/>
    <mergeCell ref="C10:D10"/>
    <mergeCell ref="M8:M9"/>
    <mergeCell ref="B35:B37"/>
    <mergeCell ref="C35:C37"/>
    <mergeCell ref="A39:A42"/>
    <mergeCell ref="B39:B42"/>
    <mergeCell ref="C39:C42"/>
    <mergeCell ref="A4:Y4"/>
    <mergeCell ref="A5:Z5"/>
    <mergeCell ref="A7:B9"/>
    <mergeCell ref="C7:C9"/>
    <mergeCell ref="D7:D9"/>
    <mergeCell ref="E7:E9"/>
    <mergeCell ref="F7:I7"/>
    <mergeCell ref="J7:M7"/>
    <mergeCell ref="N8:Q8"/>
    <mergeCell ref="R8:U8"/>
    <mergeCell ref="Z7:Z9"/>
    <mergeCell ref="F8:F9"/>
    <mergeCell ref="G8:G9"/>
    <mergeCell ref="H8:H9"/>
    <mergeCell ref="I8:I9"/>
    <mergeCell ref="J8:J9"/>
    <mergeCell ref="K8:K9"/>
    <mergeCell ref="V7:Y8"/>
  </mergeCells>
  <printOptions horizontalCentered="1"/>
  <pageMargins left="0" right="0" top="0.23622047244094491" bottom="0.23622047244094491" header="0.31496062992125984" footer="0.31496062992125984"/>
  <pageSetup paperSize="9" scale="8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7" zoomScaleNormal="100" workbookViewId="0">
      <selection activeCell="J50" sqref="J50"/>
    </sheetView>
  </sheetViews>
  <sheetFormatPr defaultRowHeight="15.5"/>
  <cols>
    <col min="1" max="1" width="4.5" customWidth="1"/>
    <col min="2" max="2" width="17.75" customWidth="1"/>
    <col min="3" max="3" width="10" style="16" customWidth="1"/>
    <col min="4" max="4" width="12.58203125" style="16" customWidth="1"/>
    <col min="5" max="11" width="12.58203125" customWidth="1"/>
  </cols>
  <sheetData>
    <row r="1" spans="1:11">
      <c r="A1" s="216" t="s">
        <v>0</v>
      </c>
      <c r="B1" s="216"/>
      <c r="C1" s="216"/>
      <c r="I1" s="216" t="s">
        <v>386</v>
      </c>
      <c r="J1" s="216"/>
      <c r="K1" s="216"/>
    </row>
    <row r="3" spans="1:11" ht="45" customHeight="1">
      <c r="A3" s="183" t="s">
        <v>387</v>
      </c>
      <c r="B3" s="184"/>
      <c r="C3" s="184"/>
      <c r="D3" s="184"/>
      <c r="E3" s="184"/>
      <c r="F3" s="184"/>
      <c r="G3" s="184"/>
      <c r="H3" s="184"/>
      <c r="I3" s="184"/>
      <c r="J3" s="184"/>
      <c r="K3" s="184"/>
    </row>
    <row r="4" spans="1:11" ht="27" customHeight="1">
      <c r="A4" s="217" t="s">
        <v>388</v>
      </c>
      <c r="B4" s="217" t="s">
        <v>389</v>
      </c>
      <c r="C4" s="217" t="s">
        <v>390</v>
      </c>
      <c r="D4" s="219" t="s">
        <v>391</v>
      </c>
      <c r="E4" s="220"/>
      <c r="F4" s="221"/>
      <c r="G4" s="219" t="s">
        <v>392</v>
      </c>
      <c r="H4" s="220"/>
      <c r="I4" s="220"/>
      <c r="J4" s="220"/>
      <c r="K4" s="221"/>
    </row>
    <row r="5" spans="1:11" ht="34.5" customHeight="1">
      <c r="A5" s="218"/>
      <c r="B5" s="218"/>
      <c r="C5" s="218"/>
      <c r="D5" s="137" t="s">
        <v>393</v>
      </c>
      <c r="E5" s="137" t="s">
        <v>394</v>
      </c>
      <c r="F5" s="137" t="s">
        <v>395</v>
      </c>
      <c r="G5" s="10">
        <v>2025</v>
      </c>
      <c r="H5" s="10">
        <v>2026</v>
      </c>
      <c r="I5" s="10">
        <v>2027</v>
      </c>
      <c r="J5" s="10">
        <v>2028</v>
      </c>
      <c r="K5" s="10">
        <v>2029</v>
      </c>
    </row>
    <row r="6" spans="1:11" ht="35.15" customHeight="1">
      <c r="A6" s="43">
        <v>1</v>
      </c>
      <c r="B6" s="49" t="s">
        <v>243</v>
      </c>
      <c r="C6" s="138">
        <v>8</v>
      </c>
      <c r="D6" s="138">
        <v>8</v>
      </c>
      <c r="E6" s="22"/>
      <c r="F6" s="22"/>
      <c r="G6" s="142" t="s">
        <v>393</v>
      </c>
      <c r="H6" s="142" t="s">
        <v>397</v>
      </c>
      <c r="I6" s="142" t="s">
        <v>397</v>
      </c>
      <c r="J6" s="142" t="s">
        <v>397</v>
      </c>
      <c r="K6" s="142" t="s">
        <v>397</v>
      </c>
    </row>
    <row r="7" spans="1:11" ht="35.15" customHeight="1">
      <c r="A7" s="43">
        <v>2</v>
      </c>
      <c r="B7" s="49" t="s">
        <v>257</v>
      </c>
      <c r="C7" s="138">
        <v>4</v>
      </c>
      <c r="D7" s="138">
        <v>4</v>
      </c>
      <c r="E7" s="22"/>
      <c r="F7" s="22"/>
      <c r="G7" s="142" t="s">
        <v>393</v>
      </c>
      <c r="H7" s="142" t="s">
        <v>397</v>
      </c>
      <c r="I7" s="142" t="s">
        <v>397</v>
      </c>
      <c r="J7" s="142" t="s">
        <v>397</v>
      </c>
      <c r="K7" s="142" t="s">
        <v>397</v>
      </c>
    </row>
    <row r="8" spans="1:11" ht="35.15" customHeight="1">
      <c r="A8" s="43">
        <v>3</v>
      </c>
      <c r="B8" s="49" t="s">
        <v>10</v>
      </c>
      <c r="C8" s="138">
        <v>3</v>
      </c>
      <c r="D8" s="138">
        <v>3</v>
      </c>
      <c r="E8" s="22"/>
      <c r="F8" s="22"/>
      <c r="G8" s="142" t="s">
        <v>393</v>
      </c>
      <c r="H8" s="142" t="s">
        <v>397</v>
      </c>
      <c r="I8" s="142" t="s">
        <v>397</v>
      </c>
      <c r="J8" s="142" t="s">
        <v>397</v>
      </c>
      <c r="K8" s="142" t="s">
        <v>397</v>
      </c>
    </row>
    <row r="9" spans="1:11" ht="35.15" customHeight="1">
      <c r="A9" s="43">
        <v>4</v>
      </c>
      <c r="B9" s="44" t="s">
        <v>261</v>
      </c>
      <c r="C9" s="138">
        <v>4</v>
      </c>
      <c r="D9" s="138">
        <v>4</v>
      </c>
      <c r="E9" s="22"/>
      <c r="F9" s="22"/>
      <c r="G9" s="142" t="s">
        <v>393</v>
      </c>
      <c r="H9" s="142" t="s">
        <v>397</v>
      </c>
      <c r="I9" s="142" t="s">
        <v>397</v>
      </c>
      <c r="J9" s="142" t="s">
        <v>397</v>
      </c>
      <c r="K9" s="142" t="s">
        <v>397</v>
      </c>
    </row>
    <row r="10" spans="1:11" ht="35.15" customHeight="1">
      <c r="A10" s="43">
        <v>5</v>
      </c>
      <c r="B10" s="44" t="s">
        <v>263</v>
      </c>
      <c r="C10" s="138">
        <v>5</v>
      </c>
      <c r="D10" s="138">
        <v>5</v>
      </c>
      <c r="E10" s="22"/>
      <c r="F10" s="22"/>
      <c r="G10" s="142" t="s">
        <v>393</v>
      </c>
      <c r="H10" s="142" t="s">
        <v>397</v>
      </c>
      <c r="I10" s="142" t="s">
        <v>397</v>
      </c>
      <c r="J10" s="142" t="s">
        <v>397</v>
      </c>
      <c r="K10" s="142" t="s">
        <v>397</v>
      </c>
    </row>
    <row r="11" spans="1:11" ht="35.15" customHeight="1">
      <c r="A11" s="43">
        <v>6</v>
      </c>
      <c r="B11" s="44" t="s">
        <v>50</v>
      </c>
      <c r="C11" s="138">
        <v>4</v>
      </c>
      <c r="D11" s="138">
        <v>4</v>
      </c>
      <c r="E11" s="22"/>
      <c r="F11" s="22"/>
      <c r="G11" s="142" t="s">
        <v>393</v>
      </c>
      <c r="H11" s="142" t="s">
        <v>397</v>
      </c>
      <c r="I11" s="142" t="s">
        <v>397</v>
      </c>
      <c r="J11" s="142" t="s">
        <v>397</v>
      </c>
      <c r="K11" s="142" t="s">
        <v>397</v>
      </c>
    </row>
    <row r="12" spans="1:11" ht="35.15" customHeight="1">
      <c r="A12" s="43">
        <v>7</v>
      </c>
      <c r="B12" s="44" t="s">
        <v>265</v>
      </c>
      <c r="C12" s="138">
        <v>3</v>
      </c>
      <c r="D12" s="138">
        <v>3</v>
      </c>
      <c r="E12" s="22"/>
      <c r="F12" s="22"/>
      <c r="G12" s="142" t="s">
        <v>393</v>
      </c>
      <c r="H12" s="142" t="s">
        <v>397</v>
      </c>
      <c r="I12" s="142" t="s">
        <v>397</v>
      </c>
      <c r="J12" s="142" t="s">
        <v>397</v>
      </c>
      <c r="K12" s="142" t="s">
        <v>397</v>
      </c>
    </row>
    <row r="13" spans="1:11" ht="35.15" customHeight="1">
      <c r="A13" s="43">
        <v>8</v>
      </c>
      <c r="B13" s="44" t="s">
        <v>64</v>
      </c>
      <c r="C13" s="138">
        <v>2</v>
      </c>
      <c r="D13" s="138">
        <v>2</v>
      </c>
      <c r="E13" s="22"/>
      <c r="F13" s="22"/>
      <c r="G13" s="142" t="s">
        <v>393</v>
      </c>
      <c r="H13" s="142" t="s">
        <v>397</v>
      </c>
      <c r="I13" s="142" t="s">
        <v>397</v>
      </c>
      <c r="J13" s="142" t="s">
        <v>397</v>
      </c>
      <c r="K13" s="142" t="s">
        <v>397</v>
      </c>
    </row>
    <row r="14" spans="1:11" ht="35.15" customHeight="1">
      <c r="A14" s="43">
        <v>9</v>
      </c>
      <c r="B14" s="44" t="s">
        <v>244</v>
      </c>
      <c r="C14" s="138">
        <v>2</v>
      </c>
      <c r="D14" s="138">
        <v>2</v>
      </c>
      <c r="E14" s="22"/>
      <c r="F14" s="22"/>
      <c r="G14" s="142" t="s">
        <v>393</v>
      </c>
      <c r="H14" s="142" t="s">
        <v>397</v>
      </c>
      <c r="I14" s="142" t="s">
        <v>397</v>
      </c>
      <c r="J14" s="142" t="s">
        <v>397</v>
      </c>
      <c r="K14" s="142" t="s">
        <v>397</v>
      </c>
    </row>
    <row r="15" spans="1:11" ht="35.15" customHeight="1">
      <c r="A15" s="43">
        <v>10</v>
      </c>
      <c r="B15" s="44" t="s">
        <v>245</v>
      </c>
      <c r="C15" s="138">
        <v>4</v>
      </c>
      <c r="D15" s="138">
        <f>C15</f>
        <v>4</v>
      </c>
      <c r="E15" s="22"/>
      <c r="F15" s="22"/>
      <c r="G15" s="142" t="s">
        <v>393</v>
      </c>
      <c r="H15" s="142" t="s">
        <v>397</v>
      </c>
      <c r="I15" s="142" t="s">
        <v>397</v>
      </c>
      <c r="J15" s="142" t="s">
        <v>397</v>
      </c>
      <c r="K15" s="142" t="s">
        <v>397</v>
      </c>
    </row>
    <row r="16" spans="1:11" ht="35.15" customHeight="1">
      <c r="A16" s="43">
        <v>11</v>
      </c>
      <c r="B16" s="44" t="s">
        <v>72</v>
      </c>
      <c r="C16" s="138">
        <v>4</v>
      </c>
      <c r="D16" s="138">
        <f t="shared" ref="D16:D28" si="0">C16</f>
        <v>4</v>
      </c>
      <c r="E16" s="22"/>
      <c r="F16" s="22"/>
      <c r="G16" s="142" t="s">
        <v>393</v>
      </c>
      <c r="H16" s="142" t="s">
        <v>397</v>
      </c>
      <c r="I16" s="142" t="s">
        <v>397</v>
      </c>
      <c r="J16" s="142" t="s">
        <v>397</v>
      </c>
      <c r="K16" s="142" t="s">
        <v>397</v>
      </c>
    </row>
    <row r="17" spans="1:11" ht="35.15" customHeight="1">
      <c r="A17" s="43">
        <v>12</v>
      </c>
      <c r="B17" s="54" t="s">
        <v>68</v>
      </c>
      <c r="C17" s="138">
        <v>1</v>
      </c>
      <c r="D17" s="138">
        <f t="shared" si="0"/>
        <v>1</v>
      </c>
      <c r="E17" s="22"/>
      <c r="F17" s="22"/>
      <c r="G17" s="142" t="s">
        <v>393</v>
      </c>
      <c r="H17" s="142" t="s">
        <v>397</v>
      </c>
      <c r="I17" s="142" t="s">
        <v>397</v>
      </c>
      <c r="J17" s="142" t="s">
        <v>397</v>
      </c>
      <c r="K17" s="142" t="s">
        <v>397</v>
      </c>
    </row>
    <row r="18" spans="1:11" ht="35.15" customHeight="1">
      <c r="A18" s="43">
        <v>13</v>
      </c>
      <c r="B18" s="54" t="s">
        <v>266</v>
      </c>
      <c r="C18" s="138">
        <v>2</v>
      </c>
      <c r="D18" s="138">
        <f t="shared" si="0"/>
        <v>2</v>
      </c>
      <c r="E18" s="22"/>
      <c r="F18" s="22"/>
      <c r="G18" s="142" t="s">
        <v>393</v>
      </c>
      <c r="H18" s="142" t="s">
        <v>397</v>
      </c>
      <c r="I18" s="142" t="s">
        <v>397</v>
      </c>
      <c r="J18" s="142" t="s">
        <v>397</v>
      </c>
      <c r="K18" s="142" t="s">
        <v>397</v>
      </c>
    </row>
    <row r="19" spans="1:11" ht="35.15" customHeight="1">
      <c r="A19" s="43">
        <v>14</v>
      </c>
      <c r="B19" s="54" t="s">
        <v>267</v>
      </c>
      <c r="C19" s="138">
        <v>2</v>
      </c>
      <c r="D19" s="138">
        <f t="shared" si="0"/>
        <v>2</v>
      </c>
      <c r="E19" s="22"/>
      <c r="F19" s="22"/>
      <c r="G19" s="142" t="s">
        <v>393</v>
      </c>
      <c r="H19" s="142" t="s">
        <v>397</v>
      </c>
      <c r="I19" s="142" t="s">
        <v>397</v>
      </c>
      <c r="J19" s="142" t="s">
        <v>397</v>
      </c>
      <c r="K19" s="142" t="s">
        <v>397</v>
      </c>
    </row>
    <row r="20" spans="1:11" ht="35.15" customHeight="1">
      <c r="A20" s="43">
        <v>15</v>
      </c>
      <c r="B20" s="54" t="s">
        <v>242</v>
      </c>
      <c r="C20" s="138">
        <v>5</v>
      </c>
      <c r="D20" s="138">
        <f t="shared" si="0"/>
        <v>5</v>
      </c>
      <c r="E20" s="22"/>
      <c r="F20" s="22"/>
      <c r="G20" s="142" t="s">
        <v>393</v>
      </c>
      <c r="H20" s="142" t="s">
        <v>397</v>
      </c>
      <c r="I20" s="142" t="s">
        <v>397</v>
      </c>
      <c r="J20" s="142" t="s">
        <v>397</v>
      </c>
      <c r="K20" s="142" t="s">
        <v>397</v>
      </c>
    </row>
    <row r="21" spans="1:11" ht="35.15" customHeight="1">
      <c r="A21" s="43">
        <v>16</v>
      </c>
      <c r="B21" s="54" t="s">
        <v>269</v>
      </c>
      <c r="C21" s="138">
        <v>3</v>
      </c>
      <c r="D21" s="138">
        <f t="shared" si="0"/>
        <v>3</v>
      </c>
      <c r="E21" s="22"/>
      <c r="F21" s="22"/>
      <c r="G21" s="142" t="s">
        <v>393</v>
      </c>
      <c r="H21" s="142" t="s">
        <v>397</v>
      </c>
      <c r="I21" s="142" t="s">
        <v>397</v>
      </c>
      <c r="J21" s="142" t="s">
        <v>397</v>
      </c>
      <c r="K21" s="142" t="s">
        <v>397</v>
      </c>
    </row>
    <row r="22" spans="1:11" ht="35.15" customHeight="1">
      <c r="A22" s="43">
        <v>17</v>
      </c>
      <c r="B22" s="54" t="s">
        <v>271</v>
      </c>
      <c r="C22" s="138">
        <v>3</v>
      </c>
      <c r="D22" s="138">
        <f t="shared" si="0"/>
        <v>3</v>
      </c>
      <c r="E22" s="22"/>
      <c r="F22" s="22"/>
      <c r="G22" s="142" t="s">
        <v>393</v>
      </c>
      <c r="H22" s="142" t="s">
        <v>397</v>
      </c>
      <c r="I22" s="142" t="s">
        <v>397</v>
      </c>
      <c r="J22" s="142" t="s">
        <v>397</v>
      </c>
      <c r="K22" s="142" t="s">
        <v>397</v>
      </c>
    </row>
    <row r="23" spans="1:11" ht="35.15" customHeight="1">
      <c r="A23" s="43">
        <v>18</v>
      </c>
      <c r="B23" s="51" t="s">
        <v>273</v>
      </c>
      <c r="C23" s="138">
        <v>4</v>
      </c>
      <c r="D23" s="138">
        <f t="shared" si="0"/>
        <v>4</v>
      </c>
      <c r="E23" s="22"/>
      <c r="F23" s="22"/>
      <c r="G23" s="142" t="s">
        <v>393</v>
      </c>
      <c r="H23" s="142" t="s">
        <v>397</v>
      </c>
      <c r="I23" s="142" t="s">
        <v>397</v>
      </c>
      <c r="J23" s="142" t="s">
        <v>397</v>
      </c>
      <c r="K23" s="142" t="s">
        <v>397</v>
      </c>
    </row>
    <row r="24" spans="1:11" ht="35.15" customHeight="1">
      <c r="A24" s="43">
        <v>19</v>
      </c>
      <c r="B24" s="13" t="s">
        <v>379</v>
      </c>
      <c r="C24" s="138">
        <v>3</v>
      </c>
      <c r="D24" s="138">
        <f t="shared" si="0"/>
        <v>3</v>
      </c>
      <c r="E24" s="22"/>
      <c r="F24" s="22"/>
      <c r="G24" s="142" t="s">
        <v>393</v>
      </c>
      <c r="H24" s="142" t="s">
        <v>397</v>
      </c>
      <c r="I24" s="142" t="s">
        <v>397</v>
      </c>
      <c r="J24" s="142" t="s">
        <v>397</v>
      </c>
      <c r="K24" s="142" t="s">
        <v>397</v>
      </c>
    </row>
    <row r="25" spans="1:11" ht="35.15" customHeight="1">
      <c r="A25" s="43">
        <v>20</v>
      </c>
      <c r="B25" s="74" t="s">
        <v>235</v>
      </c>
      <c r="C25" s="138">
        <v>3</v>
      </c>
      <c r="D25" s="138">
        <f t="shared" si="0"/>
        <v>3</v>
      </c>
      <c r="E25" s="22"/>
      <c r="F25" s="22"/>
      <c r="G25" s="142" t="s">
        <v>393</v>
      </c>
      <c r="H25" s="142" t="s">
        <v>397</v>
      </c>
      <c r="I25" s="142" t="s">
        <v>397</v>
      </c>
      <c r="J25" s="142" t="s">
        <v>397</v>
      </c>
      <c r="K25" s="142" t="s">
        <v>397</v>
      </c>
    </row>
    <row r="26" spans="1:11" ht="35.15" customHeight="1">
      <c r="A26" s="43">
        <v>21</v>
      </c>
      <c r="B26" s="74" t="s">
        <v>237</v>
      </c>
      <c r="C26" s="138">
        <v>3</v>
      </c>
      <c r="D26" s="138">
        <f t="shared" si="0"/>
        <v>3</v>
      </c>
      <c r="E26" s="22"/>
      <c r="F26" s="22"/>
      <c r="G26" s="142" t="s">
        <v>393</v>
      </c>
      <c r="H26" s="142" t="s">
        <v>397</v>
      </c>
      <c r="I26" s="142" t="s">
        <v>397</v>
      </c>
      <c r="J26" s="142" t="s">
        <v>397</v>
      </c>
      <c r="K26" s="142" t="s">
        <v>397</v>
      </c>
    </row>
    <row r="27" spans="1:11" ht="35.15" customHeight="1">
      <c r="A27" s="43">
        <v>22</v>
      </c>
      <c r="B27" s="74" t="s">
        <v>136</v>
      </c>
      <c r="C27" s="138">
        <v>3</v>
      </c>
      <c r="D27" s="138">
        <f t="shared" si="0"/>
        <v>3</v>
      </c>
      <c r="E27" s="22"/>
      <c r="F27" s="22"/>
      <c r="G27" s="142" t="s">
        <v>393</v>
      </c>
      <c r="H27" s="142" t="s">
        <v>397</v>
      </c>
      <c r="I27" s="142" t="s">
        <v>397</v>
      </c>
      <c r="J27" s="142" t="s">
        <v>397</v>
      </c>
      <c r="K27" s="142" t="s">
        <v>397</v>
      </c>
    </row>
    <row r="28" spans="1:11" ht="35.15" customHeight="1">
      <c r="A28" s="43">
        <v>23</v>
      </c>
      <c r="B28" s="74" t="s">
        <v>277</v>
      </c>
      <c r="C28" s="138">
        <v>4</v>
      </c>
      <c r="D28" s="138">
        <f t="shared" si="0"/>
        <v>4</v>
      </c>
      <c r="E28" s="22"/>
      <c r="F28" s="22"/>
      <c r="G28" s="142" t="s">
        <v>393</v>
      </c>
      <c r="H28" s="142" t="s">
        <v>397</v>
      </c>
      <c r="I28" s="142" t="s">
        <v>397</v>
      </c>
      <c r="J28" s="142" t="s">
        <v>397</v>
      </c>
      <c r="K28" s="142" t="s">
        <v>397</v>
      </c>
    </row>
    <row r="29" spans="1:11" ht="35.15" customHeight="1">
      <c r="A29" s="43">
        <v>24</v>
      </c>
      <c r="B29" s="144" t="s">
        <v>116</v>
      </c>
      <c r="C29" s="146">
        <v>2</v>
      </c>
      <c r="D29" s="146">
        <v>2</v>
      </c>
      <c r="E29" s="22"/>
      <c r="F29" s="22"/>
      <c r="G29" s="142" t="s">
        <v>393</v>
      </c>
      <c r="H29" s="142" t="s">
        <v>397</v>
      </c>
      <c r="I29" s="142" t="s">
        <v>397</v>
      </c>
      <c r="J29" s="142" t="s">
        <v>397</v>
      </c>
      <c r="K29" s="142" t="s">
        <v>397</v>
      </c>
    </row>
    <row r="30" spans="1:11" ht="35.15" customHeight="1">
      <c r="A30" s="43">
        <v>25</v>
      </c>
      <c r="B30" s="144" t="s">
        <v>252</v>
      </c>
      <c r="C30" s="146">
        <v>4</v>
      </c>
      <c r="D30" s="146">
        <v>4</v>
      </c>
      <c r="E30" s="22"/>
      <c r="F30" s="22"/>
      <c r="G30" s="142" t="s">
        <v>393</v>
      </c>
      <c r="H30" s="142" t="s">
        <v>397</v>
      </c>
      <c r="I30" s="142" t="s">
        <v>397</v>
      </c>
      <c r="J30" s="142" t="s">
        <v>397</v>
      </c>
      <c r="K30" s="142" t="s">
        <v>397</v>
      </c>
    </row>
    <row r="31" spans="1:11" ht="35.15" customHeight="1">
      <c r="A31" s="43">
        <v>26</v>
      </c>
      <c r="B31" s="144" t="s">
        <v>128</v>
      </c>
      <c r="C31" s="146">
        <v>4</v>
      </c>
      <c r="D31" s="146">
        <v>4</v>
      </c>
      <c r="E31" s="22"/>
      <c r="F31" s="22"/>
      <c r="G31" s="142" t="s">
        <v>393</v>
      </c>
      <c r="H31" s="142" t="s">
        <v>397</v>
      </c>
      <c r="I31" s="142" t="s">
        <v>397</v>
      </c>
      <c r="J31" s="142" t="s">
        <v>397</v>
      </c>
      <c r="K31" s="142" t="s">
        <v>397</v>
      </c>
    </row>
    <row r="32" spans="1:11" ht="35.15" customHeight="1">
      <c r="A32" s="43">
        <v>27</v>
      </c>
      <c r="B32" s="144" t="s">
        <v>282</v>
      </c>
      <c r="C32" s="146">
        <v>4</v>
      </c>
      <c r="D32" s="146">
        <v>4</v>
      </c>
      <c r="E32" s="22"/>
      <c r="F32" s="22"/>
      <c r="G32" s="142" t="s">
        <v>393</v>
      </c>
      <c r="H32" s="142" t="s">
        <v>397</v>
      </c>
      <c r="I32" s="142" t="s">
        <v>397</v>
      </c>
      <c r="J32" s="142" t="s">
        <v>397</v>
      </c>
      <c r="K32" s="142" t="s">
        <v>397</v>
      </c>
    </row>
    <row r="33" spans="1:11" ht="35.15" customHeight="1">
      <c r="A33" s="43">
        <v>28</v>
      </c>
      <c r="B33" s="17" t="s">
        <v>284</v>
      </c>
      <c r="C33" s="146">
        <v>5</v>
      </c>
      <c r="D33" s="146">
        <v>5</v>
      </c>
      <c r="E33" s="22"/>
      <c r="F33" s="22"/>
      <c r="G33" s="142" t="s">
        <v>393</v>
      </c>
      <c r="H33" s="142" t="s">
        <v>397</v>
      </c>
      <c r="I33" s="142" t="s">
        <v>397</v>
      </c>
      <c r="J33" s="142" t="s">
        <v>397</v>
      </c>
      <c r="K33" s="142" t="s">
        <v>397</v>
      </c>
    </row>
    <row r="34" spans="1:11" ht="35.15" customHeight="1">
      <c r="A34" s="43">
        <v>29</v>
      </c>
      <c r="B34" s="144" t="s">
        <v>253</v>
      </c>
      <c r="C34" s="146">
        <v>4</v>
      </c>
      <c r="D34" s="146">
        <v>4</v>
      </c>
      <c r="E34" s="22"/>
      <c r="F34" s="22"/>
      <c r="G34" s="142" t="s">
        <v>393</v>
      </c>
      <c r="H34" s="142" t="s">
        <v>397</v>
      </c>
      <c r="I34" s="142" t="s">
        <v>397</v>
      </c>
      <c r="J34" s="142" t="s">
        <v>397</v>
      </c>
      <c r="K34" s="142" t="s">
        <v>397</v>
      </c>
    </row>
    <row r="35" spans="1:11" ht="35.15" customHeight="1">
      <c r="A35" s="43">
        <v>30</v>
      </c>
      <c r="B35" s="144" t="s">
        <v>254</v>
      </c>
      <c r="C35" s="146">
        <v>3</v>
      </c>
      <c r="D35" s="146">
        <v>3</v>
      </c>
      <c r="E35" s="22"/>
      <c r="F35" s="22"/>
      <c r="G35" s="142" t="s">
        <v>393</v>
      </c>
      <c r="H35" s="142" t="s">
        <v>397</v>
      </c>
      <c r="I35" s="142" t="s">
        <v>397</v>
      </c>
      <c r="J35" s="142" t="s">
        <v>397</v>
      </c>
      <c r="K35" s="142" t="s">
        <v>397</v>
      </c>
    </row>
    <row r="36" spans="1:11" ht="35.15" customHeight="1">
      <c r="A36" s="43">
        <v>31</v>
      </c>
      <c r="B36" s="64" t="s">
        <v>238</v>
      </c>
      <c r="C36" s="147">
        <v>4</v>
      </c>
      <c r="D36" s="147">
        <v>4</v>
      </c>
      <c r="E36" s="145"/>
      <c r="F36" s="22"/>
      <c r="G36" s="142" t="s">
        <v>393</v>
      </c>
      <c r="H36" s="142" t="s">
        <v>397</v>
      </c>
      <c r="I36" s="142" t="s">
        <v>397</v>
      </c>
      <c r="J36" s="142" t="s">
        <v>397</v>
      </c>
      <c r="K36" s="142" t="s">
        <v>397</v>
      </c>
    </row>
    <row r="37" spans="1:11" ht="35.15" customHeight="1">
      <c r="A37" s="43">
        <v>32</v>
      </c>
      <c r="B37" s="64" t="s">
        <v>239</v>
      </c>
      <c r="C37" s="147">
        <v>4</v>
      </c>
      <c r="D37" s="147">
        <v>4</v>
      </c>
      <c r="E37" s="145"/>
      <c r="F37" s="22"/>
      <c r="G37" s="142" t="s">
        <v>393</v>
      </c>
      <c r="H37" s="142" t="s">
        <v>397</v>
      </c>
      <c r="I37" s="142" t="s">
        <v>397</v>
      </c>
      <c r="J37" s="142" t="s">
        <v>397</v>
      </c>
      <c r="K37" s="142" t="s">
        <v>397</v>
      </c>
    </row>
    <row r="38" spans="1:11" ht="35.15" customHeight="1">
      <c r="A38" s="43">
        <v>33</v>
      </c>
      <c r="B38" s="64" t="s">
        <v>240</v>
      </c>
      <c r="C38" s="147">
        <v>4</v>
      </c>
      <c r="D38" s="147">
        <v>4</v>
      </c>
      <c r="E38" s="145"/>
      <c r="F38" s="22"/>
      <c r="G38" s="142" t="s">
        <v>393</v>
      </c>
      <c r="H38" s="142" t="s">
        <v>397</v>
      </c>
      <c r="I38" s="142" t="s">
        <v>397</v>
      </c>
      <c r="J38" s="142" t="s">
        <v>397</v>
      </c>
      <c r="K38" s="142" t="s">
        <v>397</v>
      </c>
    </row>
    <row r="39" spans="1:11" ht="35.15" customHeight="1">
      <c r="A39" s="43">
        <v>34</v>
      </c>
      <c r="B39" s="64" t="s">
        <v>241</v>
      </c>
      <c r="C39" s="147">
        <v>2</v>
      </c>
      <c r="D39" s="147">
        <v>2</v>
      </c>
      <c r="E39" s="145"/>
      <c r="F39" s="22"/>
      <c r="G39" s="142" t="s">
        <v>393</v>
      </c>
      <c r="H39" s="142" t="s">
        <v>397</v>
      </c>
      <c r="I39" s="142" t="s">
        <v>397</v>
      </c>
      <c r="J39" s="142" t="s">
        <v>397</v>
      </c>
      <c r="K39" s="142" t="s">
        <v>397</v>
      </c>
    </row>
    <row r="40" spans="1:11" ht="35.15" customHeight="1">
      <c r="A40" s="43">
        <v>35</v>
      </c>
      <c r="B40" s="139" t="s">
        <v>293</v>
      </c>
      <c r="C40" s="140">
        <f>6</f>
        <v>6</v>
      </c>
      <c r="D40" s="141">
        <v>6</v>
      </c>
      <c r="E40" s="141"/>
      <c r="F40" s="141"/>
      <c r="G40" s="142" t="s">
        <v>393</v>
      </c>
      <c r="H40" s="142" t="s">
        <v>397</v>
      </c>
      <c r="I40" s="142" t="s">
        <v>397</v>
      </c>
      <c r="J40" s="142" t="s">
        <v>397</v>
      </c>
      <c r="K40" s="142" t="s">
        <v>397</v>
      </c>
    </row>
    <row r="41" spans="1:11" ht="35.15" customHeight="1">
      <c r="A41" s="43">
        <v>36</v>
      </c>
      <c r="B41" s="139" t="s">
        <v>295</v>
      </c>
      <c r="C41" s="141">
        <v>4</v>
      </c>
      <c r="D41" s="141">
        <f>C41</f>
        <v>4</v>
      </c>
      <c r="E41" s="141"/>
      <c r="F41" s="143"/>
      <c r="G41" s="142" t="s">
        <v>393</v>
      </c>
      <c r="H41" s="142" t="s">
        <v>397</v>
      </c>
      <c r="I41" s="142" t="s">
        <v>397</v>
      </c>
      <c r="J41" s="142" t="s">
        <v>397</v>
      </c>
      <c r="K41" s="142" t="s">
        <v>397</v>
      </c>
    </row>
    <row r="42" spans="1:11" ht="35.15" customHeight="1">
      <c r="A42" s="43">
        <v>37</v>
      </c>
      <c r="B42" s="139" t="s">
        <v>297</v>
      </c>
      <c r="C42" s="141">
        <v>3</v>
      </c>
      <c r="D42" s="141">
        <f t="shared" ref="D42:D46" si="1">C42</f>
        <v>3</v>
      </c>
      <c r="E42" s="141"/>
      <c r="F42" s="143"/>
      <c r="G42" s="142" t="s">
        <v>393</v>
      </c>
      <c r="H42" s="142" t="s">
        <v>397</v>
      </c>
      <c r="I42" s="142" t="s">
        <v>397</v>
      </c>
      <c r="J42" s="142" t="s">
        <v>397</v>
      </c>
      <c r="K42" s="142" t="s">
        <v>397</v>
      </c>
    </row>
    <row r="43" spans="1:11" ht="35.15" customHeight="1">
      <c r="A43" s="43">
        <v>38</v>
      </c>
      <c r="B43" s="139" t="s">
        <v>299</v>
      </c>
      <c r="C43" s="141">
        <v>4</v>
      </c>
      <c r="D43" s="141">
        <f t="shared" si="1"/>
        <v>4</v>
      </c>
      <c r="E43" s="141"/>
      <c r="F43" s="143"/>
      <c r="G43" s="142" t="s">
        <v>393</v>
      </c>
      <c r="H43" s="142" t="s">
        <v>397</v>
      </c>
      <c r="I43" s="142" t="s">
        <v>397</v>
      </c>
      <c r="J43" s="142" t="s">
        <v>397</v>
      </c>
      <c r="K43" s="142" t="s">
        <v>397</v>
      </c>
    </row>
    <row r="44" spans="1:11" ht="35.15" customHeight="1">
      <c r="A44" s="43">
        <v>39</v>
      </c>
      <c r="B44" s="139" t="s">
        <v>301</v>
      </c>
      <c r="C44" s="141">
        <v>3</v>
      </c>
      <c r="D44" s="141">
        <f t="shared" si="1"/>
        <v>3</v>
      </c>
      <c r="E44" s="141"/>
      <c r="F44" s="143"/>
      <c r="G44" s="142" t="s">
        <v>393</v>
      </c>
      <c r="H44" s="142" t="s">
        <v>397</v>
      </c>
      <c r="I44" s="142" t="s">
        <v>397</v>
      </c>
      <c r="J44" s="142" t="s">
        <v>397</v>
      </c>
      <c r="K44" s="142" t="s">
        <v>397</v>
      </c>
    </row>
    <row r="45" spans="1:11" ht="35.15" customHeight="1">
      <c r="A45" s="43">
        <v>40</v>
      </c>
      <c r="B45" s="139" t="s">
        <v>303</v>
      </c>
      <c r="C45" s="141">
        <v>3</v>
      </c>
      <c r="D45" s="141">
        <f t="shared" si="1"/>
        <v>3</v>
      </c>
      <c r="E45" s="141"/>
      <c r="F45" s="143"/>
      <c r="G45" s="142" t="s">
        <v>393</v>
      </c>
      <c r="H45" s="142" t="s">
        <v>397</v>
      </c>
      <c r="I45" s="142" t="s">
        <v>397</v>
      </c>
      <c r="J45" s="142" t="s">
        <v>397</v>
      </c>
      <c r="K45" s="142" t="s">
        <v>397</v>
      </c>
    </row>
    <row r="46" spans="1:11" ht="35.15" customHeight="1">
      <c r="A46" s="43">
        <v>41</v>
      </c>
      <c r="B46" s="139" t="s">
        <v>305</v>
      </c>
      <c r="C46" s="141">
        <v>3</v>
      </c>
      <c r="D46" s="141">
        <f t="shared" si="1"/>
        <v>3</v>
      </c>
      <c r="E46" s="141"/>
      <c r="F46" s="143"/>
      <c r="G46" s="142" t="s">
        <v>393</v>
      </c>
      <c r="H46" s="142" t="s">
        <v>397</v>
      </c>
      <c r="I46" s="142" t="s">
        <v>397</v>
      </c>
      <c r="J46" s="142" t="s">
        <v>397</v>
      </c>
      <c r="K46" s="142" t="s">
        <v>397</v>
      </c>
    </row>
    <row r="47" spans="1:11" ht="35.15" customHeight="1">
      <c r="A47" s="22"/>
      <c r="B47" s="10" t="s">
        <v>396</v>
      </c>
      <c r="C47" s="10">
        <f>SUM(C6:C46)</f>
        <v>145</v>
      </c>
      <c r="D47" s="10">
        <f>SUM(D6:D46)</f>
        <v>145</v>
      </c>
      <c r="E47" s="148"/>
      <c r="F47" s="148"/>
      <c r="G47" s="148"/>
      <c r="H47" s="148"/>
      <c r="I47" s="148"/>
      <c r="J47" s="148"/>
      <c r="K47" s="148"/>
    </row>
  </sheetData>
  <mergeCells count="8">
    <mergeCell ref="A1:C1"/>
    <mergeCell ref="I1:K1"/>
    <mergeCell ref="A3:K3"/>
    <mergeCell ref="A4:A5"/>
    <mergeCell ref="B4:B5"/>
    <mergeCell ref="C4:C5"/>
    <mergeCell ref="D4:F4"/>
    <mergeCell ref="G4:K4"/>
  </mergeCells>
  <pageMargins left="0.31496062992125984" right="0.11811023622047245" top="0.15748031496062992" bottom="0.15748031496062992" header="0.11811023622047245" footer="0.1181102362204724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PL 2.1</vt:lpstr>
      <vt:lpstr>PL 2.2</vt:lpstr>
      <vt:lpstr>PL 2.3</vt:lpstr>
      <vt:lpstr>PL 2.4</vt:lpstr>
      <vt:lpstr>PL 5</vt:lpstr>
      <vt:lpstr>PL 2.6</vt:lpstr>
      <vt:lpstr>'PL 2.1'!Print_Titles</vt:lpstr>
      <vt:lpstr>'PL 2.3'!Print_Titles</vt:lpstr>
      <vt:lpstr>'PL 2.6'!Print_Titles</vt:lpstr>
      <vt:lpstr>'PL 5'!Print_Titles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Nguyen Huyen</cp:lastModifiedBy>
  <cp:lastPrinted>2025-04-17T08:55:17Z</cp:lastPrinted>
  <dcterms:created xsi:type="dcterms:W3CDTF">2025-04-01T07:35:50Z</dcterms:created>
  <dcterms:modified xsi:type="dcterms:W3CDTF">2025-04-20T08:51:05Z</dcterms:modified>
</cp:coreProperties>
</file>